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0490" windowHeight="7530" tabRatio="695" firstSheet="12" activeTab="20"/>
  </bookViews>
  <sheets>
    <sheet name="IMO" sheetId="1" r:id="rId1"/>
    <sheet name="IMO Support" sheetId="2" r:id="rId2"/>
    <sheet name="UNESCO" sheetId="4" r:id="rId3"/>
    <sheet name="ITU" sheetId="5" r:id="rId4"/>
    <sheet name="UNWTO" sheetId="6" r:id="rId5"/>
    <sheet name="FAO" sheetId="7" r:id="rId6"/>
    <sheet name="WFP" sheetId="8" r:id="rId7"/>
    <sheet name="WFP Support" sheetId="9" r:id="rId8"/>
    <sheet name="UNHCR" sheetId="10" r:id="rId9"/>
    <sheet name="UNITAR" sheetId="11" r:id="rId10"/>
    <sheet name="UNDP" sheetId="12" r:id="rId11"/>
    <sheet name="UNFPA" sheetId="13" r:id="rId12"/>
    <sheet name="ILO" sheetId="14" r:id="rId13"/>
    <sheet name="UNIDO" sheetId="15" r:id="rId14"/>
    <sheet name="UNIDO Suport (EUR)" sheetId="16" r:id="rId15"/>
    <sheet name="UNICEF" sheetId="17" r:id="rId16"/>
    <sheet name="ICAO" sheetId="18" r:id="rId17"/>
    <sheet name="WIPO" sheetId="19" r:id="rId18"/>
    <sheet name="IAEA" sheetId="20" r:id="rId19"/>
    <sheet name="IAEA Support (source data)" sheetId="21" r:id="rId20"/>
    <sheet name="WHO" sheetId="33" r:id="rId21"/>
    <sheet name="UN Volume I " sheetId="23" r:id="rId22"/>
    <sheet name="UN Volume II" sheetId="24" r:id="rId23"/>
    <sheet name="UNHabitat" sheetId="25" r:id="rId24"/>
    <sheet name="UNEP" sheetId="26" r:id="rId25"/>
    <sheet name="UNU" sheetId="27" r:id="rId26"/>
    <sheet name="UNU Add'l" sheetId="28" r:id="rId27"/>
    <sheet name="ICTY" sheetId="29" r:id="rId28"/>
    <sheet name="ICTR" sheetId="30" r:id="rId29"/>
    <sheet name="MICT" sheetId="31" r:id="rId30"/>
    <sheet name="UNODC" sheetId="32" r:id="rId31"/>
  </sheets>
  <externalReferences>
    <externalReference r:id="rId32"/>
    <externalReference r:id="rId33"/>
    <externalReference r:id="rId34"/>
    <externalReference r:id="rId35"/>
    <externalReference r:id="rId36"/>
    <externalReference r:id="rId37"/>
    <externalReference r:id="rId38"/>
    <externalReference r:id="rId39"/>
  </externalReferences>
  <calcPr calcId="145621"/>
</workbook>
</file>

<file path=xl/calcChain.xml><?xml version="1.0" encoding="utf-8"?>
<calcChain xmlns="http://schemas.openxmlformats.org/spreadsheetml/2006/main">
  <c r="G31" i="33" l="1"/>
  <c r="I28" i="33"/>
  <c r="K27" i="33"/>
  <c r="K25" i="33" s="1"/>
  <c r="I27" i="33"/>
  <c r="G27" i="33"/>
  <c r="G28" i="33" s="1"/>
  <c r="E27" i="33"/>
  <c r="E28" i="33" s="1"/>
  <c r="C27" i="33"/>
  <c r="C25" i="33" s="1"/>
  <c r="I25" i="33"/>
  <c r="G25" i="33"/>
  <c r="E25" i="33"/>
  <c r="I22" i="33"/>
  <c r="K19" i="33"/>
  <c r="K31" i="33" s="1"/>
  <c r="I19" i="33"/>
  <c r="I31" i="33" s="1"/>
  <c r="G19" i="33"/>
  <c r="E19" i="33"/>
  <c r="E31" i="33" s="1"/>
  <c r="C19" i="33"/>
  <c r="C31" i="33" s="1"/>
  <c r="K18" i="33"/>
  <c r="J18" i="33" s="1"/>
  <c r="I18" i="33"/>
  <c r="G18" i="33"/>
  <c r="F18" i="33" s="1"/>
  <c r="E18" i="33"/>
  <c r="E22" i="33" s="1"/>
  <c r="C18" i="33"/>
  <c r="C22" i="33" s="1"/>
  <c r="K16" i="33"/>
  <c r="I16" i="33"/>
  <c r="G16" i="33"/>
  <c r="E16" i="33"/>
  <c r="C16" i="33"/>
  <c r="G13" i="33"/>
  <c r="K12" i="33"/>
  <c r="K13" i="33" s="1"/>
  <c r="I12" i="33"/>
  <c r="I13" i="33" s="1"/>
  <c r="G12" i="33"/>
  <c r="E12" i="33"/>
  <c r="E13" i="33" s="1"/>
  <c r="C12" i="33"/>
  <c r="C13" i="33" s="1"/>
  <c r="G22" i="33" l="1"/>
  <c r="D18" i="33"/>
  <c r="H18" i="33"/>
  <c r="C28" i="33"/>
  <c r="K28" i="33"/>
  <c r="K22" i="33"/>
  <c r="F25" i="32"/>
  <c r="F16" i="32"/>
  <c r="F18" i="32" s="1"/>
  <c r="H18" i="32" s="1"/>
  <c r="J18" i="32" s="1"/>
  <c r="L18" i="32" s="1"/>
  <c r="E13" i="31" l="1"/>
  <c r="G13" i="31"/>
  <c r="I13" i="31"/>
  <c r="K13" i="31"/>
  <c r="E13" i="30"/>
  <c r="G13" i="30"/>
  <c r="I13" i="30"/>
  <c r="K13" i="30"/>
  <c r="E13" i="29"/>
  <c r="G13" i="29"/>
  <c r="I13" i="29"/>
  <c r="K13" i="29"/>
  <c r="B4" i="28" l="1"/>
  <c r="D4" i="28"/>
  <c r="F4" i="28"/>
  <c r="G5" i="28"/>
  <c r="D12" i="27"/>
  <c r="F12" i="27"/>
  <c r="H12" i="27"/>
  <c r="J12" i="27"/>
  <c r="L12" i="27"/>
  <c r="J16" i="27"/>
  <c r="J18" i="27" s="1"/>
  <c r="L16" i="27" s="1"/>
  <c r="L18" i="27" s="1"/>
  <c r="H18" i="27"/>
  <c r="C13" i="24" l="1"/>
  <c r="E13" i="24"/>
  <c r="G13" i="24"/>
  <c r="I13" i="24"/>
  <c r="K13" i="24"/>
  <c r="K13" i="23" l="1"/>
  <c r="I13" i="23"/>
  <c r="G13" i="23"/>
  <c r="E13" i="23"/>
  <c r="C13" i="23"/>
  <c r="S12" i="23"/>
  <c r="R12" i="23"/>
  <c r="Q12" i="23"/>
  <c r="P12" i="23"/>
  <c r="O12" i="23"/>
  <c r="I9" i="21" l="1"/>
  <c r="J9" i="21"/>
  <c r="K11" i="21"/>
  <c r="L11" i="21"/>
  <c r="I12" i="21"/>
  <c r="J12" i="21"/>
  <c r="E12" i="20" s="1"/>
  <c r="K12" i="21"/>
  <c r="L12" i="21"/>
  <c r="I12" i="20" s="1"/>
  <c r="M12" i="21"/>
  <c r="K12" i="20" s="1"/>
  <c r="I15" i="21"/>
  <c r="I17" i="21" s="1"/>
  <c r="C13" i="20" s="1"/>
  <c r="J15" i="21"/>
  <c r="K15" i="21"/>
  <c r="K17" i="21" s="1"/>
  <c r="G13" i="20" s="1"/>
  <c r="L15" i="21"/>
  <c r="L17" i="21" s="1"/>
  <c r="I13" i="20" s="1"/>
  <c r="M15" i="21"/>
  <c r="M17" i="21" s="1"/>
  <c r="K13" i="20" s="1"/>
  <c r="K36" i="20"/>
  <c r="G12" i="20"/>
  <c r="C12" i="20"/>
  <c r="J17" i="21" l="1"/>
  <c r="E13" i="20" s="1"/>
  <c r="K36" i="19"/>
  <c r="I36" i="19"/>
  <c r="G36" i="19"/>
  <c r="E36" i="19"/>
  <c r="C36" i="19"/>
  <c r="K25" i="19"/>
  <c r="I25" i="19"/>
  <c r="G25" i="19"/>
  <c r="I19" i="19"/>
  <c r="G19" i="19"/>
  <c r="K18" i="19"/>
  <c r="K21" i="19" s="1"/>
  <c r="I18" i="19"/>
  <c r="I21" i="19" s="1"/>
  <c r="G18" i="19"/>
  <c r="G16" i="19" s="1"/>
  <c r="K16" i="19"/>
  <c r="I16" i="19"/>
  <c r="K13" i="19"/>
  <c r="K12" i="19"/>
  <c r="I12" i="19"/>
  <c r="I13" i="19" s="1"/>
  <c r="G12" i="19"/>
  <c r="G13" i="19" s="1"/>
  <c r="E12" i="19"/>
  <c r="E13" i="19" s="1"/>
  <c r="C12" i="19"/>
  <c r="C13" i="19" s="1"/>
  <c r="G20" i="19" l="1"/>
  <c r="I20" i="19"/>
  <c r="G21" i="19"/>
  <c r="K20" i="18" l="1"/>
  <c r="I20" i="18"/>
  <c r="G20" i="18"/>
  <c r="E20" i="18"/>
  <c r="C20" i="18"/>
  <c r="K17" i="18"/>
  <c r="I17" i="18"/>
  <c r="G17" i="18"/>
  <c r="E17" i="18"/>
  <c r="C17" i="18"/>
  <c r="K13" i="18"/>
  <c r="I13" i="18"/>
  <c r="G13" i="18"/>
  <c r="E13" i="18"/>
  <c r="C13" i="18"/>
  <c r="K12" i="18"/>
  <c r="I12" i="18"/>
  <c r="G12" i="18"/>
  <c r="E12" i="18"/>
  <c r="C12" i="18"/>
  <c r="G21" i="17" l="1"/>
  <c r="E21" i="17"/>
  <c r="C21" i="17"/>
  <c r="K13" i="15" l="1"/>
  <c r="I13" i="15"/>
  <c r="G13" i="15"/>
  <c r="E13" i="15"/>
  <c r="C13" i="15"/>
  <c r="L12" i="15"/>
  <c r="K12" i="15"/>
  <c r="J12" i="15"/>
  <c r="I12" i="15"/>
  <c r="H12" i="15"/>
  <c r="G12" i="15"/>
  <c r="F12" i="15"/>
  <c r="E12" i="15"/>
  <c r="D12" i="15"/>
  <c r="C12" i="15"/>
  <c r="K37" i="14" l="1"/>
  <c r="Q25" i="14"/>
  <c r="P22" i="14"/>
  <c r="P20" i="14"/>
  <c r="P17" i="14"/>
  <c r="P12" i="14"/>
  <c r="K36" i="13" l="1"/>
  <c r="I36" i="13"/>
  <c r="C36" i="13"/>
  <c r="K25" i="13"/>
  <c r="I25" i="13"/>
  <c r="G25" i="13"/>
  <c r="I22" i="13"/>
  <c r="K21" i="13"/>
  <c r="K22" i="13" s="1"/>
  <c r="I21" i="13"/>
  <c r="G21" i="13"/>
  <c r="G22" i="13" s="1"/>
  <c r="E21" i="13"/>
  <c r="E22" i="13" s="1"/>
  <c r="C21" i="13"/>
  <c r="C22" i="13" s="1"/>
  <c r="K19" i="13"/>
  <c r="K20" i="13" s="1"/>
  <c r="I19" i="13"/>
  <c r="G19" i="13"/>
  <c r="E19" i="13"/>
  <c r="E25" i="13" s="1"/>
  <c r="C19" i="13"/>
  <c r="C25" i="13" s="1"/>
  <c r="K12" i="13"/>
  <c r="K13" i="13" s="1"/>
  <c r="I12" i="13"/>
  <c r="I13" i="13" s="1"/>
  <c r="G12" i="13"/>
  <c r="G13" i="13" s="1"/>
  <c r="E12" i="13"/>
  <c r="E13" i="13" s="1"/>
  <c r="C12" i="13"/>
  <c r="C13" i="13" s="1"/>
  <c r="S15" i="11" l="1"/>
  <c r="P15" i="11"/>
  <c r="L29" i="10" l="1"/>
  <c r="F29" i="10"/>
  <c r="L27" i="10"/>
  <c r="F27" i="10"/>
  <c r="D26" i="10"/>
  <c r="L25" i="10"/>
  <c r="L26" i="10" s="1"/>
  <c r="J25" i="10"/>
  <c r="J26" i="10" s="1"/>
  <c r="H25" i="10"/>
  <c r="H26" i="10" s="1"/>
  <c r="F25" i="10"/>
  <c r="F26" i="10" s="1"/>
  <c r="L21" i="10"/>
  <c r="J21" i="10"/>
  <c r="H21" i="10"/>
  <c r="F21" i="10"/>
  <c r="L20" i="10"/>
  <c r="J20" i="10"/>
  <c r="H20" i="10"/>
  <c r="F20" i="10"/>
  <c r="D17" i="10"/>
  <c r="L16" i="10"/>
  <c r="L17" i="10" s="1"/>
  <c r="J16" i="10"/>
  <c r="J17" i="10" s="1"/>
  <c r="H16" i="10"/>
  <c r="H17" i="10" s="1"/>
  <c r="F16" i="10"/>
  <c r="F17" i="10" s="1"/>
  <c r="L13" i="10"/>
  <c r="K13" i="10"/>
  <c r="J13" i="10"/>
  <c r="I13" i="10"/>
  <c r="H13" i="10"/>
  <c r="G13" i="10"/>
  <c r="F13" i="10"/>
  <c r="E13" i="10"/>
  <c r="D13" i="10"/>
  <c r="C13" i="10"/>
  <c r="E13" i="9" l="1"/>
  <c r="F11" i="9"/>
  <c r="F13" i="9" s="1"/>
  <c r="F8" i="9"/>
  <c r="E8" i="9"/>
  <c r="D6" i="9"/>
  <c r="B6" i="9"/>
  <c r="D4" i="9"/>
  <c r="D13" i="9" s="1"/>
  <c r="C4" i="9"/>
  <c r="C13" i="9" s="1"/>
  <c r="B4" i="9"/>
  <c r="B8" i="9" s="1"/>
  <c r="K36" i="8"/>
  <c r="I36" i="8"/>
  <c r="G36" i="8"/>
  <c r="K21" i="8"/>
  <c r="I21" i="8"/>
  <c r="G21" i="8"/>
  <c r="E21" i="8"/>
  <c r="K16" i="8"/>
  <c r="K25" i="8" s="1"/>
  <c r="I16" i="8"/>
  <c r="I25" i="8" s="1"/>
  <c r="G16" i="8"/>
  <c r="G25" i="8" s="1"/>
  <c r="E16" i="8"/>
  <c r="E25" i="8" s="1"/>
  <c r="K12" i="8"/>
  <c r="K13" i="8" s="1"/>
  <c r="I12" i="8"/>
  <c r="I13" i="8" s="1"/>
  <c r="G12" i="8"/>
  <c r="G13" i="8" s="1"/>
  <c r="E12" i="8"/>
  <c r="E13" i="8" s="1"/>
  <c r="C8" i="9" l="1"/>
  <c r="B13" i="9"/>
  <c r="D8" i="9"/>
  <c r="K17" i="8"/>
  <c r="E17" i="8"/>
  <c r="G17" i="8"/>
  <c r="I17" i="8"/>
  <c r="K19" i="7" l="1"/>
  <c r="I19" i="7"/>
  <c r="G19" i="7"/>
  <c r="E19" i="7"/>
  <c r="C19" i="7"/>
  <c r="K36" i="6" l="1"/>
  <c r="G36" i="6"/>
  <c r="K18" i="6"/>
  <c r="I18" i="6"/>
  <c r="G18" i="6"/>
  <c r="I17" i="6"/>
  <c r="K16" i="6"/>
  <c r="K17" i="6" s="1"/>
  <c r="G16" i="6"/>
  <c r="G17" i="6" s="1"/>
  <c r="K12" i="6"/>
  <c r="K13" i="6" s="1"/>
  <c r="I12" i="6"/>
  <c r="I13" i="6" s="1"/>
  <c r="G12" i="6"/>
  <c r="G13" i="6" s="1"/>
  <c r="E12" i="6"/>
  <c r="K17" i="5" l="1"/>
  <c r="I17" i="5"/>
  <c r="G17" i="5"/>
  <c r="E17" i="5"/>
  <c r="C17" i="5"/>
  <c r="K13" i="5"/>
  <c r="I13" i="5"/>
  <c r="G13" i="5"/>
  <c r="E13" i="5"/>
  <c r="C13" i="5"/>
  <c r="D12" i="5"/>
  <c r="K18" i="4" l="1"/>
  <c r="K17" i="4"/>
  <c r="I17" i="4"/>
  <c r="K13" i="4"/>
  <c r="I13" i="4"/>
  <c r="G13" i="4"/>
  <c r="E13" i="4"/>
  <c r="C13" i="4"/>
  <c r="L24" i="2" l="1"/>
  <c r="K35" i="1" s="1"/>
  <c r="J24" i="2"/>
  <c r="I24" i="2"/>
  <c r="E35" i="1" s="1"/>
  <c r="H24" i="2"/>
  <c r="K23" i="2"/>
  <c r="K24" i="2" s="1"/>
  <c r="I35" i="1" s="1"/>
  <c r="K13" i="2"/>
  <c r="K14" i="2" s="1"/>
  <c r="J13" i="2"/>
  <c r="J14" i="2" s="1"/>
  <c r="I13" i="2"/>
  <c r="I14" i="2" s="1"/>
  <c r="H13" i="2"/>
  <c r="H14" i="2" s="1"/>
  <c r="L13" i="2"/>
  <c r="L14" i="2" s="1"/>
  <c r="K16" i="1" s="1"/>
  <c r="C16" i="1" l="1"/>
  <c r="C18" i="1" s="1"/>
  <c r="E16" i="1"/>
  <c r="G16" i="1"/>
  <c r="I16" i="1"/>
  <c r="E18" i="1" l="1"/>
  <c r="G18" i="1" s="1"/>
  <c r="I18" i="1" s="1"/>
  <c r="K18" i="1" s="1"/>
  <c r="K12" i="1"/>
  <c r="I12" i="1" l="1"/>
  <c r="G12" i="1" l="1"/>
  <c r="E12" i="1" l="1"/>
  <c r="C12" i="1" l="1"/>
</calcChain>
</file>

<file path=xl/comments1.xml><?xml version="1.0" encoding="utf-8"?>
<comments xmlns="http://schemas.openxmlformats.org/spreadsheetml/2006/main">
  <authors>
    <author>UNESCO</author>
  </authors>
  <commentList>
    <comment ref="I17" authorId="0">
      <text>
        <r>
          <rPr>
            <b/>
            <sz val="9"/>
            <color indexed="81"/>
            <rFont val="Tahoma"/>
            <family val="2"/>
          </rPr>
          <t>UNESCO:</t>
        </r>
        <r>
          <rPr>
            <sz val="9"/>
            <color indexed="81"/>
            <rFont val="Tahoma"/>
            <family val="2"/>
          </rPr>
          <t xml:space="preserve">
The salary mass amount includes only Base Salary and Post adjustement</t>
        </r>
      </text>
    </comment>
    <comment ref="K17" authorId="0">
      <text>
        <r>
          <rPr>
            <b/>
            <sz val="9"/>
            <color indexed="81"/>
            <rFont val="Tahoma"/>
            <family val="2"/>
          </rPr>
          <t>UNESCO:</t>
        </r>
        <r>
          <rPr>
            <sz val="9"/>
            <color indexed="81"/>
            <rFont val="Tahoma"/>
            <family val="2"/>
          </rPr>
          <t xml:space="preserve">
The salary mass amount includes only Base Salary and Post adjustement</t>
        </r>
      </text>
    </comment>
  </commentList>
</comments>
</file>

<file path=xl/comments10.xml><?xml version="1.0" encoding="utf-8"?>
<comments xmlns="http://schemas.openxmlformats.org/spreadsheetml/2006/main">
  <authors>
    <author>afiouni</author>
  </authors>
  <commentList>
    <comment ref="C12" authorId="0">
      <text>
        <r>
          <rPr>
            <b/>
            <sz val="9"/>
            <color indexed="81"/>
            <rFont val="Tahoma"/>
            <family val="2"/>
          </rPr>
          <t>OSWALD:</t>
        </r>
        <r>
          <rPr>
            <sz val="9"/>
            <color indexed="81"/>
            <rFont val="Tahoma"/>
            <family val="2"/>
          </rPr>
          <t xml:space="preserve">
Not reported as UN was still reporting on biennium basis under UNSAS at this time</t>
        </r>
      </text>
    </comment>
    <comment ref="K12" authorId="0">
      <text>
        <r>
          <rPr>
            <b/>
            <sz val="9"/>
            <color indexed="81"/>
            <rFont val="Tahoma"/>
            <family val="2"/>
          </rPr>
          <t xml:space="preserve">OSWALD:
</t>
        </r>
        <r>
          <rPr>
            <sz val="9"/>
            <color indexed="81"/>
            <rFont val="Tahoma"/>
            <family val="2"/>
          </rPr>
          <t xml:space="preserve">Includes liabilities transferred from ICTR
</t>
        </r>
      </text>
    </comment>
  </commentList>
</comments>
</file>

<file path=xl/comments2.xml><?xml version="1.0" encoding="utf-8"?>
<comments xmlns="http://schemas.openxmlformats.org/spreadsheetml/2006/main">
  <authors>
    <author>MANANIKOVA Maryna</author>
  </authors>
  <commentList>
    <comment ref="E27" authorId="0">
      <text>
        <r>
          <rPr>
            <b/>
            <sz val="9"/>
            <color indexed="81"/>
            <rFont val="Tahoma"/>
            <family val="2"/>
          </rPr>
          <t>MANANIKOVA Maryna:</t>
        </r>
        <r>
          <rPr>
            <sz val="9"/>
            <color indexed="81"/>
            <rFont val="Tahoma"/>
            <family val="2"/>
          </rPr>
          <t xml:space="preserve">
Profit share mechanism is maintained with our insurance provider. The contract with the provider is for the three Rome based agencies, but data on the split of the profit share between organizations  is not available currently. We are working with FAO to obtain this data.</t>
        </r>
      </text>
    </comment>
    <comment ref="G27" authorId="0">
      <text>
        <r>
          <rPr>
            <b/>
            <sz val="9"/>
            <color indexed="81"/>
            <rFont val="Tahoma"/>
            <family val="2"/>
          </rPr>
          <t>MANANIKOVA Maryna:</t>
        </r>
        <r>
          <rPr>
            <sz val="9"/>
            <color indexed="81"/>
            <rFont val="Tahoma"/>
            <family val="2"/>
          </rPr>
          <t xml:space="preserve">
Profit share mechanism is maintained with insurance provider, but split between the 3 Rome Based Agencies is not available currently
</t>
        </r>
      </text>
    </comment>
    <comment ref="I27" authorId="0">
      <text>
        <r>
          <rPr>
            <b/>
            <sz val="9"/>
            <color indexed="81"/>
            <rFont val="Tahoma"/>
            <family val="2"/>
          </rPr>
          <t>MANANIKOVA Maryna:</t>
        </r>
        <r>
          <rPr>
            <sz val="9"/>
            <color indexed="81"/>
            <rFont val="Tahoma"/>
            <family val="2"/>
          </rPr>
          <t xml:space="preserve">
Profit share mechanism is maintained with insurance provider, but split between the 3 Rome Based Agencies is not available currently
</t>
        </r>
      </text>
    </comment>
    <comment ref="K27" authorId="0">
      <text>
        <r>
          <rPr>
            <b/>
            <sz val="9"/>
            <color indexed="81"/>
            <rFont val="Tahoma"/>
            <family val="2"/>
          </rPr>
          <t>MANANIKOVA Maryna:</t>
        </r>
        <r>
          <rPr>
            <sz val="9"/>
            <color indexed="81"/>
            <rFont val="Tahoma"/>
            <family val="2"/>
          </rPr>
          <t xml:space="preserve">
Profit share mechanism is maintained with insurance provider, but split between the 3 Rome Based Agencies is not available currently
</t>
        </r>
      </text>
    </comment>
    <comment ref="C36" authorId="0">
      <text>
        <r>
          <rPr>
            <b/>
            <sz val="9"/>
            <color indexed="81"/>
            <rFont val="Tahoma"/>
            <family val="2"/>
          </rPr>
          <t>MANANIKOVA Maryna:</t>
        </r>
        <r>
          <rPr>
            <sz val="9"/>
            <color indexed="81"/>
            <rFont val="Tahoma"/>
            <family val="2"/>
          </rPr>
          <t xml:space="preserve">
Fixed fee for annual valuation of all plans. It excludes ad-hoc costs for studies of some demographic assumptions
</t>
        </r>
      </text>
    </comment>
    <comment ref="E36" authorId="0">
      <text>
        <r>
          <rPr>
            <b/>
            <sz val="9"/>
            <color indexed="81"/>
            <rFont val="Tahoma"/>
            <family val="2"/>
          </rPr>
          <t>MANANIKOVA Maryna:</t>
        </r>
        <r>
          <rPr>
            <sz val="9"/>
            <color indexed="81"/>
            <rFont val="Tahoma"/>
            <family val="2"/>
          </rPr>
          <t xml:space="preserve">
Fixed fee for annual valuation of all plans. It excludes ad-hoc costs for studies of some demographic assumptions
</t>
        </r>
      </text>
    </comment>
    <comment ref="G36" authorId="0">
      <text>
        <r>
          <rPr>
            <b/>
            <sz val="9"/>
            <color indexed="81"/>
            <rFont val="Tahoma"/>
            <family val="2"/>
          </rPr>
          <t>MANANIKOVA Maryna:</t>
        </r>
        <r>
          <rPr>
            <sz val="9"/>
            <color indexed="81"/>
            <rFont val="Tahoma"/>
            <family val="2"/>
          </rPr>
          <t xml:space="preserve">
Same comment as in 2012/2013 but in 2014 we also included our national staff plans to actuarial valuations, hence jump in valuation costs</t>
        </r>
      </text>
    </comment>
  </commentList>
</comments>
</file>

<file path=xl/comments3.xml><?xml version="1.0" encoding="utf-8"?>
<comments xmlns="http://schemas.openxmlformats.org/spreadsheetml/2006/main">
  <authors>
    <author>Xiang Yu</author>
  </authors>
  <commentList>
    <comment ref="B25" authorId="0">
      <text>
        <r>
          <rPr>
            <sz val="9"/>
            <color indexed="81"/>
            <rFont val="Tahoma"/>
            <family val="2"/>
          </rPr>
          <t xml:space="preserve">From FBP
</t>
        </r>
      </text>
    </comment>
    <comment ref="C27" authorId="0">
      <text>
        <r>
          <rPr>
            <b/>
            <sz val="9"/>
            <color indexed="81"/>
            <rFont val="Tahoma"/>
            <family val="2"/>
          </rPr>
          <t>N/A to UNDP, as UNDP does not pay health insurance expense, rather UNDP pays premium</t>
        </r>
        <r>
          <rPr>
            <sz val="9"/>
            <color indexed="81"/>
            <rFont val="Tahoma"/>
            <family val="2"/>
          </rPr>
          <t xml:space="preserve">
</t>
        </r>
      </text>
    </comment>
  </commentList>
</comments>
</file>

<file path=xl/comments4.xml><?xml version="1.0" encoding="utf-8"?>
<comments xmlns="http://schemas.openxmlformats.org/spreadsheetml/2006/main">
  <authors>
    <author>SENANAYAKE, Poshitha Sajjana Vangisa</author>
  </authors>
  <commentList>
    <comment ref="K12" authorId="0">
      <text>
        <r>
          <rPr>
            <b/>
            <sz val="9"/>
            <color indexed="81"/>
            <rFont val="Tahoma"/>
            <charset val="1"/>
          </rPr>
          <t>SENANAYAKE, Poshitha Sajjana Vangisa:</t>
        </r>
        <r>
          <rPr>
            <sz val="9"/>
            <color indexed="81"/>
            <rFont val="Tahoma"/>
            <charset val="1"/>
          </rPr>
          <t xml:space="preserve">
SHI Annual Report 2016, Statement I, "Long-term liabilities" (Note 3.10)</t>
        </r>
      </text>
    </comment>
    <comment ref="K13" authorId="0">
      <text>
        <r>
          <rPr>
            <b/>
            <sz val="9"/>
            <color indexed="81"/>
            <rFont val="Tahoma"/>
            <charset val="1"/>
          </rPr>
          <t>SENANAYAKE, Poshitha Sajjana Vangisa:</t>
        </r>
        <r>
          <rPr>
            <sz val="9"/>
            <color indexed="81"/>
            <rFont val="Tahoma"/>
            <charset val="1"/>
          </rPr>
          <t xml:space="preserve">
(Line 1 / Line 3) * 100</t>
        </r>
      </text>
    </comment>
    <comment ref="K16" authorId="0">
      <text>
        <r>
          <rPr>
            <b/>
            <sz val="9"/>
            <color indexed="81"/>
            <rFont val="Tahoma"/>
            <charset val="1"/>
          </rPr>
          <t>SENANAYAKE, Poshitha Sajjana Vangisa:</t>
        </r>
        <r>
          <rPr>
            <sz val="9"/>
            <color indexed="81"/>
            <rFont val="Tahoma"/>
            <charset val="1"/>
          </rPr>
          <t xml:space="preserve">
SHI Annual Report 2016, Statement II, "Amounts booked to participating entities" (Note 4.7)</t>
        </r>
      </text>
    </comment>
    <comment ref="K17" authorId="0">
      <text>
        <r>
          <rPr>
            <b/>
            <sz val="9"/>
            <color indexed="81"/>
            <rFont val="Tahoma"/>
            <charset val="1"/>
          </rPr>
          <t>SENANAYAKE, Poshitha Sajjana Vangisa:</t>
        </r>
        <r>
          <rPr>
            <sz val="9"/>
            <color indexed="81"/>
            <rFont val="Tahoma"/>
            <charset val="1"/>
          </rPr>
          <t xml:space="preserve">
Need further information from the Task Force about interpretation of this</t>
        </r>
      </text>
    </comment>
    <comment ref="K18" authorId="0">
      <text>
        <r>
          <rPr>
            <b/>
            <sz val="9"/>
            <color indexed="81"/>
            <rFont val="Tahoma"/>
            <charset val="1"/>
          </rPr>
          <t>SENANAYAKE, Poshitha Sajjana Vangisa:</t>
        </r>
        <r>
          <rPr>
            <sz val="9"/>
            <color indexed="81"/>
            <rFont val="Tahoma"/>
            <charset val="1"/>
          </rPr>
          <t xml:space="preserve">
SHI Annual Report 2016, Fund Balance Reconciliation (P54), "Fund Balance" minus "Provision for outstanding claims" (Note 3.9)</t>
        </r>
      </text>
    </comment>
    <comment ref="K19" authorId="0">
      <text>
        <r>
          <rPr>
            <b/>
            <sz val="9"/>
            <color indexed="81"/>
            <rFont val="Tahoma"/>
            <charset val="1"/>
          </rPr>
          <t>SENANAYAKE, Poshitha Sajjana Vangisa:</t>
        </r>
        <r>
          <rPr>
            <sz val="9"/>
            <color indexed="81"/>
            <rFont val="Tahoma"/>
            <charset val="1"/>
          </rPr>
          <t xml:space="preserve">
SHI Annual Report 2016, Finance revenue/(expense) (Note 4.6), "Investment Income/(Expense)"</t>
        </r>
      </text>
    </comment>
    <comment ref="K20" authorId="0">
      <text>
        <r>
          <rPr>
            <b/>
            <sz val="9"/>
            <color indexed="81"/>
            <rFont val="Tahoma"/>
            <charset val="1"/>
          </rPr>
          <t>SENANAYAKE, Poshitha Sajjana Vangisa:</t>
        </r>
        <r>
          <rPr>
            <sz val="9"/>
            <color indexed="81"/>
            <rFont val="Tahoma"/>
            <charset val="1"/>
          </rPr>
          <t xml:space="preserve">
SHI Annual Report 2016, Finance revenue/(expense) (Note 4.6)</t>
        </r>
      </text>
    </comment>
    <comment ref="K21" authorId="0">
      <text>
        <r>
          <rPr>
            <b/>
            <sz val="9"/>
            <color indexed="81"/>
            <rFont val="Tahoma"/>
            <charset val="1"/>
          </rPr>
          <t>SENANAYAKE, Poshitha Sajjana Vangisa:</t>
        </r>
        <r>
          <rPr>
            <sz val="9"/>
            <color indexed="81"/>
            <rFont val="Tahoma"/>
            <charset val="1"/>
          </rPr>
          <t xml:space="preserve">
Zero, as all allocated to Line 3.c</t>
        </r>
      </text>
    </comment>
    <comment ref="K22" authorId="0">
      <text>
        <r>
          <rPr>
            <b/>
            <sz val="9"/>
            <color indexed="81"/>
            <rFont val="Tahoma"/>
            <charset val="1"/>
          </rPr>
          <t>SENANAYAKE, Poshitha Sajjana Vangisa:</t>
        </r>
        <r>
          <rPr>
            <sz val="9"/>
            <color indexed="81"/>
            <rFont val="Tahoma"/>
            <charset val="1"/>
          </rPr>
          <t xml:space="preserve">
Same as Line 3</t>
        </r>
      </text>
    </comment>
    <comment ref="K25" authorId="0">
      <text>
        <r>
          <rPr>
            <b/>
            <sz val="9"/>
            <color indexed="81"/>
            <rFont val="Tahoma"/>
            <charset val="1"/>
          </rPr>
          <t>SENANAYAKE, Poshitha Sajjana Vangisa:</t>
        </r>
        <r>
          <rPr>
            <sz val="9"/>
            <color indexed="81"/>
            <rFont val="Tahoma"/>
            <charset val="1"/>
          </rPr>
          <t xml:space="preserve">
Same as Line 5</t>
        </r>
      </text>
    </comment>
    <comment ref="K26" authorId="0">
      <text>
        <r>
          <rPr>
            <b/>
            <sz val="9"/>
            <color indexed="81"/>
            <rFont val="Tahoma"/>
            <charset val="1"/>
          </rPr>
          <t>SENANAYAKE, Poshitha Sajjana Vangisa:</t>
        </r>
        <r>
          <rPr>
            <sz val="9"/>
            <color indexed="81"/>
            <rFont val="Tahoma"/>
            <charset val="1"/>
          </rPr>
          <t xml:space="preserve">
Need further information from the Task Force about interpretation of this</t>
        </r>
      </text>
    </comment>
    <comment ref="K27" authorId="0">
      <text>
        <r>
          <rPr>
            <b/>
            <sz val="9"/>
            <color indexed="81"/>
            <rFont val="Tahoma"/>
            <charset val="1"/>
          </rPr>
          <t>SENANAYAKE, Poshitha Sajjana Vangisa:</t>
        </r>
        <r>
          <rPr>
            <sz val="9"/>
            <color indexed="81"/>
            <rFont val="Tahoma"/>
            <charset val="1"/>
          </rPr>
          <t xml:space="preserve">
SHI Annual Report 2016, Statement II, "Contributions - regular" (Note 4.1) minus "Claims paid"  (Note 4.1)</t>
        </r>
      </text>
    </comment>
    <comment ref="K28" authorId="0">
      <text>
        <r>
          <rPr>
            <b/>
            <sz val="9"/>
            <color indexed="81"/>
            <rFont val="Tahoma"/>
            <charset val="1"/>
          </rPr>
          <t>SENANAYAKE, Poshitha Sajjana Vangisa:</t>
        </r>
        <r>
          <rPr>
            <sz val="9"/>
            <color indexed="81"/>
            <rFont val="Tahoma"/>
            <charset val="1"/>
          </rPr>
          <t xml:space="preserve">
Same as Line 5</t>
        </r>
      </text>
    </comment>
    <comment ref="K29" authorId="0">
      <text>
        <r>
          <rPr>
            <b/>
            <sz val="9"/>
            <color indexed="81"/>
            <rFont val="Tahoma"/>
            <charset val="1"/>
          </rPr>
          <t>SENANAYAKE, Poshitha Sajjana Vangisa:</t>
        </r>
        <r>
          <rPr>
            <sz val="9"/>
            <color indexed="81"/>
            <rFont val="Tahoma"/>
            <charset val="1"/>
          </rPr>
          <t xml:space="preserve">
Historic reserves data not available</t>
        </r>
      </text>
    </comment>
    <comment ref="K31" authorId="0">
      <text>
        <r>
          <rPr>
            <b/>
            <sz val="9"/>
            <color indexed="81"/>
            <rFont val="Tahoma"/>
            <charset val="1"/>
          </rPr>
          <t>SENANAYAKE, Poshitha Sajjana Vangisa:</t>
        </r>
        <r>
          <rPr>
            <sz val="9"/>
            <color indexed="81"/>
            <rFont val="Tahoma"/>
            <charset val="1"/>
          </rPr>
          <t xml:space="preserve">
SHI Annual Report 2016, Finance revenue/(expense), "Investment Income/(Expense)" (Note 4.6) plus Contributions &amp; Claims paid, "PAHO-administered asset transfer" (Note 4.1)</t>
        </r>
      </text>
    </comment>
  </commentList>
</comments>
</file>

<file path=xl/comments5.xml><?xml version="1.0" encoding="utf-8"?>
<comments xmlns="http://schemas.openxmlformats.org/spreadsheetml/2006/main">
  <authors>
    <author>Haneul Lee</author>
    <author>Dawit Adefris Bellehu</author>
  </authors>
  <commentList>
    <comment ref="C12" authorId="0">
      <text>
        <r>
          <rPr>
            <b/>
            <sz val="8"/>
            <color indexed="81"/>
            <rFont val="Tahoma"/>
            <family val="2"/>
          </rPr>
          <t>Haneul Lee:</t>
        </r>
        <r>
          <rPr>
            <sz val="8"/>
            <color indexed="81"/>
            <rFont val="Tahoma"/>
            <family val="2"/>
          </rPr>
          <t xml:space="preserve">
FS only reported for 2012-2013 biennium, no value for 2012 available</t>
        </r>
      </text>
    </comment>
    <comment ref="J12" authorId="0">
      <text>
        <r>
          <rPr>
            <b/>
            <sz val="8"/>
            <color indexed="81"/>
            <rFont val="Tahoma"/>
            <family val="2"/>
          </rPr>
          <t>Haneul Lee:</t>
        </r>
        <r>
          <rPr>
            <sz val="8"/>
            <color indexed="81"/>
            <rFont val="Tahoma"/>
            <family val="2"/>
          </rPr>
          <t xml:space="preserve">
Combined value was reported as 25 226 in FS, but perhaps due to 8 000 cash reported during conversion?
</t>
        </r>
      </text>
    </comment>
    <comment ref="B13" authorId="1">
      <text>
        <r>
          <rPr>
            <b/>
            <sz val="8"/>
            <color indexed="81"/>
            <rFont val="Tahoma"/>
            <family val="2"/>
          </rPr>
          <t>Dawit Adefris Bellehu:</t>
        </r>
        <r>
          <rPr>
            <sz val="8"/>
            <color indexed="81"/>
            <rFont val="Tahoma"/>
            <family val="2"/>
          </rPr>
          <t xml:space="preserve">
Net assets are not funded and therefore in deficit.</t>
        </r>
      </text>
    </comment>
    <comment ref="A15" authorId="0">
      <text>
        <r>
          <rPr>
            <b/>
            <sz val="8"/>
            <color indexed="81"/>
            <rFont val="Tahoma"/>
            <family val="2"/>
          </rPr>
          <t>Haneul Lee:</t>
        </r>
        <r>
          <rPr>
            <sz val="8"/>
            <color indexed="81"/>
            <rFont val="Tahoma"/>
            <family val="2"/>
          </rPr>
          <t xml:space="preserve">
No earmarked assets/funding for ASHI recorded.</t>
        </r>
      </text>
    </comment>
    <comment ref="B36" authorId="1">
      <text>
        <r>
          <rPr>
            <b/>
            <sz val="8"/>
            <color indexed="81"/>
            <rFont val="Tahoma"/>
            <family val="2"/>
          </rPr>
          <t>Dawit Adefris Bellehu:</t>
        </r>
        <r>
          <rPr>
            <sz val="8"/>
            <color indexed="81"/>
            <rFont val="Tahoma"/>
            <family val="2"/>
          </rPr>
          <t xml:space="preserve">
Information on actuary cost IOVed from HQ.</t>
        </r>
      </text>
    </comment>
  </commentList>
</comments>
</file>

<file path=xl/comments6.xml><?xml version="1.0" encoding="utf-8"?>
<comments xmlns="http://schemas.openxmlformats.org/spreadsheetml/2006/main">
  <authors>
    <author>Haneul Lee</author>
  </authors>
  <commentList>
    <comment ref="D12" authorId="0">
      <text>
        <r>
          <rPr>
            <b/>
            <sz val="8"/>
            <color indexed="81"/>
            <rFont val="Tahoma"/>
            <family val="2"/>
          </rPr>
          <t>Haneul Lee:</t>
        </r>
        <r>
          <rPr>
            <sz val="8"/>
            <color indexed="81"/>
            <rFont val="Tahoma"/>
            <family val="2"/>
          </rPr>
          <t xml:space="preserve">
F/S reported for 2012-2013 biennium, hence end-of-year balance for 2012 is not available
</t>
        </r>
      </text>
    </comment>
    <comment ref="A15" authorId="0">
      <text>
        <r>
          <rPr>
            <b/>
            <sz val="8"/>
            <color indexed="81"/>
            <rFont val="Tahoma"/>
            <family val="2"/>
          </rPr>
          <t>Haneul Lee:</t>
        </r>
        <r>
          <rPr>
            <sz val="8"/>
            <color indexed="81"/>
            <rFont val="Tahoma"/>
            <family val="2"/>
          </rPr>
          <t xml:space="preserve">
No earmarked funding for ASHI recorded</t>
        </r>
      </text>
    </comment>
  </commentList>
</comments>
</file>

<file path=xl/comments7.xml><?xml version="1.0" encoding="utf-8"?>
<comments xmlns="http://schemas.openxmlformats.org/spreadsheetml/2006/main">
  <authors>
    <author xml:space="preserve"> </author>
    <author>UNU</author>
  </authors>
  <commentList>
    <comment ref="J16" authorId="0">
      <text>
        <r>
          <rPr>
            <b/>
            <sz val="9"/>
            <color indexed="81"/>
            <rFont val="Tahoma"/>
            <family val="2"/>
          </rPr>
          <t xml:space="preserve"> :</t>
        </r>
        <r>
          <rPr>
            <sz val="9"/>
            <color indexed="81"/>
            <rFont val="Tahoma"/>
            <family val="2"/>
          </rPr>
          <t xml:space="preserve">
Computed by adding prior years funding to ASHI</t>
        </r>
      </text>
    </comment>
    <comment ref="C36" authorId="1">
      <text>
        <r>
          <rPr>
            <b/>
            <sz val="9"/>
            <color indexed="81"/>
            <rFont val="Tahoma"/>
            <family val="2"/>
          </rPr>
          <t>2011 Actuarial Valuation</t>
        </r>
        <r>
          <rPr>
            <sz val="9"/>
            <color indexed="81"/>
            <rFont val="Tahoma"/>
            <family val="2"/>
          </rPr>
          <t xml:space="preserve">
</t>
        </r>
      </text>
    </comment>
    <comment ref="H36" authorId="1">
      <text>
        <r>
          <rPr>
            <b/>
            <sz val="9"/>
            <color indexed="81"/>
            <rFont val="Tahoma"/>
            <family val="2"/>
          </rPr>
          <t>2014 Actuarial Valuation</t>
        </r>
      </text>
    </comment>
    <comment ref="I36" authorId="1">
      <text>
        <r>
          <rPr>
            <b/>
            <sz val="9"/>
            <color indexed="81"/>
            <rFont val="Tahoma"/>
            <family val="2"/>
          </rPr>
          <t>2015 Actuarial Valuation=</t>
        </r>
        <r>
          <rPr>
            <sz val="9"/>
            <color indexed="81"/>
            <rFont val="Tahoma"/>
            <family val="2"/>
          </rPr>
          <t xml:space="preserve">
$9,409
</t>
        </r>
      </text>
    </comment>
  </commentList>
</comments>
</file>

<file path=xl/comments8.xml><?xml version="1.0" encoding="utf-8"?>
<comments xmlns="http://schemas.openxmlformats.org/spreadsheetml/2006/main">
  <authors>
    <author>afiouni</author>
  </authors>
  <commentList>
    <comment ref="C12" authorId="0">
      <text>
        <r>
          <rPr>
            <b/>
            <sz val="9"/>
            <color indexed="81"/>
            <rFont val="Tahoma"/>
            <family val="2"/>
          </rPr>
          <t xml:space="preserve">OSWALD:
</t>
        </r>
        <r>
          <rPr>
            <sz val="9"/>
            <color indexed="81"/>
            <rFont val="Tahoma"/>
            <family val="2"/>
          </rPr>
          <t>Not reported as UN was still reporting on biennium basis under UNSAS at this time</t>
        </r>
      </text>
    </comment>
  </commentList>
</comments>
</file>

<file path=xl/comments9.xml><?xml version="1.0" encoding="utf-8"?>
<comments xmlns="http://schemas.openxmlformats.org/spreadsheetml/2006/main">
  <authors>
    <author>afiouni</author>
  </authors>
  <commentList>
    <comment ref="C12" authorId="0">
      <text>
        <r>
          <rPr>
            <b/>
            <sz val="9"/>
            <color indexed="81"/>
            <rFont val="Tahoma"/>
            <family val="2"/>
          </rPr>
          <t xml:space="preserve">OSWALD:
</t>
        </r>
        <r>
          <rPr>
            <sz val="9"/>
            <color indexed="81"/>
            <rFont val="Tahoma"/>
            <family val="2"/>
          </rPr>
          <t xml:space="preserve">Not reported as UN was still reporting on biennium basis under UNSAS at this time
</t>
        </r>
      </text>
    </comment>
    <comment ref="K12" authorId="0">
      <text>
        <r>
          <rPr>
            <b/>
            <sz val="9"/>
            <color indexed="81"/>
            <rFont val="Tahoma"/>
            <family val="2"/>
          </rPr>
          <t xml:space="preserve">OSWALD:
</t>
        </r>
        <r>
          <rPr>
            <sz val="9"/>
            <color indexed="81"/>
            <rFont val="Tahoma"/>
            <family val="2"/>
          </rPr>
          <t xml:space="preserve">Transferred to MICT
</t>
        </r>
      </text>
    </comment>
  </commentList>
</comments>
</file>

<file path=xl/sharedStrings.xml><?xml version="1.0" encoding="utf-8"?>
<sst xmlns="http://schemas.openxmlformats.org/spreadsheetml/2006/main" count="2464" uniqueCount="284">
  <si>
    <t>Payroll charge percentage (%)</t>
  </si>
  <si>
    <t>Funding of the ASHI liability</t>
  </si>
  <si>
    <t>ASHI liability valuations</t>
  </si>
  <si>
    <t>Actuary retained for ASHI valuations</t>
  </si>
  <si>
    <t>Cost of ASHI valuations (US$)</t>
  </si>
  <si>
    <t>Funds accumulated in the year contributing to the total funding of the ASHI liability (US$)</t>
  </si>
  <si>
    <t>Gross (before offsets) ASHI liability reported in  the financial statements (US$)</t>
  </si>
  <si>
    <t>Gross ASHI liability</t>
  </si>
  <si>
    <t>Year / Budget category</t>
  </si>
  <si>
    <t>HLCM / Finance and Budget Network / Task Force on Accounting Standards</t>
  </si>
  <si>
    <t>October 2017 meeting, Rome</t>
  </si>
  <si>
    <t>Organization:</t>
  </si>
  <si>
    <t>Total funding of the ASHI liability at year-end (US$)</t>
  </si>
  <si>
    <t>ASHI liability funding source*</t>
  </si>
  <si>
    <t>Other method of funding (US$)</t>
  </si>
  <si>
    <t>What methodology has your organization developed for determining the part of plan reserves that are organization assets and that can thus be earmarked for the funding of the ASHI liability?</t>
  </si>
  <si>
    <t>1.a</t>
  </si>
  <si>
    <t>2.a</t>
  </si>
  <si>
    <t>3.b</t>
  </si>
  <si>
    <t>4.a</t>
  </si>
  <si>
    <t>5.a</t>
  </si>
  <si>
    <t>5.b</t>
  </si>
  <si>
    <t>5.c</t>
  </si>
  <si>
    <t>6.a</t>
  </si>
  <si>
    <t>Line</t>
  </si>
  <si>
    <t>3.c</t>
  </si>
  <si>
    <t>Representing an ROI rate of: (%)</t>
  </si>
  <si>
    <t>All non RB (extra-budgetary, technical cooperation, etc.)</t>
  </si>
  <si>
    <t>Of which earmarked, but not ring-fenced as per IPSAS 39 (US$)</t>
  </si>
  <si>
    <t>Of which ring-fenced as per IPSAS 39 (US$)</t>
  </si>
  <si>
    <t>Percentage of salary mass (incl. post adjustment) allocated to the funding of the ASHI liability (%)</t>
  </si>
  <si>
    <t>Gross liability as a percentage of total net assets reported in financial statements (%)</t>
  </si>
  <si>
    <t>Regular budget (RB), incl. controlled entities</t>
  </si>
  <si>
    <t>* Lines 4, 5 and 6: Funding can be from multiple sources.</t>
  </si>
  <si>
    <t>Total reserves constituted from excess of health insurance contributions over health insurance expenditure (US$)</t>
  </si>
  <si>
    <t>Of which return on the investment (ROI) of the funding amount of:(US$)</t>
  </si>
  <si>
    <t>Survey on after-service health insurance (ASHI) liability funding</t>
  </si>
  <si>
    <t>3.a.1</t>
  </si>
  <si>
    <t>Funding from excess of health insurance contributions over health insurance expenditure in the current year (US$)</t>
  </si>
  <si>
    <t>Please specify:(e.g.funding from budgetary under-spend; one-off member States' assessment, etc.)</t>
  </si>
  <si>
    <t>Funding from payroll charge in the current year (US$)</t>
  </si>
  <si>
    <t>3.a.2</t>
  </si>
  <si>
    <t>Year-on-year Increase in reserves constituted from excess of health insurance contributions over health insurance expenditure (US$)**</t>
  </si>
  <si>
    <t>** Line 5.a: Where the full amount representing the excess of contributions over expenditure is allocated to the funding of the ASHI liability, the amount entered on 5.a line will be identical to the amount entered on line 5.</t>
  </si>
  <si>
    <t>Was the year a roll-forward year (Yes/No)</t>
  </si>
  <si>
    <t>International Maritime Organization (IMO)</t>
  </si>
  <si>
    <t xml:space="preserve">- IMO's Termination Benefit Fund was established with an initial transfer of £900,000 (1 January 2016) in order to meet the costs associated with payment of termination benefit and repatriation grants to the staff of the Organization.
- This was widened (29 November 2001) to allow the financing of the additional costs of temporary assistance required to replace staff on long-term sick leave.
- It was further widened (29 November 2007) to include the financing and accounting of the post-employment liabilities (including ASHI) of staff under the regular budget, in preparation for UN system-wide implementation of IPSAS.
- From 1 January 2014, the post-employment liabilities of all IMO staff, regardless of funding source, are accounted for under the Termination Benefit Fund and that a charge of 7% is levied on the cost (base salary) of all project staff members recruited under the Technical Cooperation Fund or any donor/trust funds, so as to build up funds for the corresponding post-employment liabilities under the Termination Benefit Fund.
</t>
  </si>
  <si>
    <t>- Assembly resolution A.1063(28) - distribute 1% of the Trading Fund surplus to the Termination Benefit Fund
- Transfer as of 1 January 2016, £6m from the cash surplus of IMO General Fund to the Termination Benefit Fund (E.2 of resolution A.1100(29)</t>
  </si>
  <si>
    <t>UNORE</t>
  </si>
  <si>
    <t>$1</t>
  </si>
  <si>
    <t>year-end</t>
  </si>
  <si>
    <t>Average</t>
  </si>
  <si>
    <t>GBP</t>
  </si>
  <si>
    <t>Trading Fund surplus</t>
  </si>
  <si>
    <t>Funds replensihment from General Fund</t>
  </si>
  <si>
    <t>Interest earned</t>
  </si>
  <si>
    <t>7% levy on project staff</t>
  </si>
  <si>
    <t>Other</t>
  </si>
  <si>
    <t>Average UNORE $:£</t>
  </si>
  <si>
    <t>Funding source</t>
  </si>
  <si>
    <t>Yes (but an interim acturail valuation was carried out)</t>
  </si>
  <si>
    <t>No</t>
  </si>
  <si>
    <t>Yes</t>
  </si>
  <si>
    <t>Barnett Waddingham</t>
  </si>
  <si>
    <t>Barnett Waddingham LLP</t>
  </si>
  <si>
    <t>UNESCO</t>
  </si>
  <si>
    <r>
      <t xml:space="preserve">Year / Budget category </t>
    </r>
    <r>
      <rPr>
        <b/>
        <sz val="11"/>
        <color rgb="FFFF0000"/>
        <rFont val="Calibri"/>
        <family val="2"/>
        <scheme val="minor"/>
      </rPr>
      <t>(amounts in 000'US$)</t>
    </r>
  </si>
  <si>
    <t>N/A</t>
  </si>
  <si>
    <t>1) General Conference approved in November 2015 that funds left over from Regular Budget for Retirees' regular contirbutions could be transfer to ASHI (column I31); 2) The amount of M3,406US$ (column K25) corresponds to the biennum 2016-2017 (for two years)</t>
  </si>
  <si>
    <t>Mercer</t>
  </si>
  <si>
    <t>In the previous contract with Mercer we had a global amount for calculating AAL, RG and ASHI. Therefore we cannot split the amount of the ASHI cost only</t>
  </si>
  <si>
    <t>4485 EUR  (roll-forward)</t>
  </si>
  <si>
    <t>ITU</t>
  </si>
  <si>
    <r>
      <t xml:space="preserve">Funding from excess of health insurance contributions over health insurance expenditure in the current year (US$) </t>
    </r>
    <r>
      <rPr>
        <b/>
        <sz val="11"/>
        <color rgb="FFFF0000"/>
        <rFont val="Calibri"/>
        <family val="2"/>
        <scheme val="minor"/>
      </rPr>
      <t>* ITU COMMENT SEE BELOW</t>
    </r>
  </si>
  <si>
    <t>result allocation or/and budgetary allocation</t>
  </si>
  <si>
    <t>AON</t>
  </si>
  <si>
    <t>NO</t>
  </si>
  <si>
    <t>COMMENTS : ITU has a separate fund called stability fund where the excess of health insurance contributions are allocate the amount at year end 2016 amounts to USD 12 500 000</t>
  </si>
  <si>
    <t>UNWTO</t>
  </si>
  <si>
    <t>UNWTO allocate part of its budget to cover current costs</t>
  </si>
  <si>
    <t xml:space="preserve">No </t>
  </si>
  <si>
    <t>FAO</t>
  </si>
  <si>
    <t>N/a - UNSAS Net assets negative (808,625,000)</t>
  </si>
  <si>
    <t>N/a - UNSAS Net assets negative (714,817,000)</t>
  </si>
  <si>
    <t>N/a - IPSAS Net assets negative (561,676,000)</t>
  </si>
  <si>
    <t>N/a - IPSAS Net assets negative (140,957,000)</t>
  </si>
  <si>
    <t>N/a - IPSAS Net assets negative (102,899,000)</t>
  </si>
  <si>
    <t>N/a</t>
  </si>
  <si>
    <t>13.7% (IPSAS change in accounting policy excluded)</t>
  </si>
  <si>
    <t>FAO Conference resolution.</t>
  </si>
  <si>
    <t>Aon Hewitt</t>
  </si>
  <si>
    <t>USD 103,636</t>
  </si>
  <si>
    <t>USD 102,165</t>
  </si>
  <si>
    <t xml:space="preserve"> </t>
  </si>
  <si>
    <t>9.5% (International Staff)+16% local staff plans</t>
  </si>
  <si>
    <t>8% (International Staff)+16% local staff plans</t>
  </si>
  <si>
    <t>NA</t>
  </si>
  <si>
    <t xml:space="preserve">15 year funding plan approved by WFP Executive Board, with annual amortization amount of USD 7.5million through the standard position cost rates starting from 2010. </t>
  </si>
  <si>
    <t>AON Hewitt</t>
  </si>
  <si>
    <t>WFP performs full scope actuarial valuations annually</t>
  </si>
  <si>
    <t>WFP</t>
  </si>
  <si>
    <t>ASHI Gross</t>
  </si>
  <si>
    <t>All plans gross from actuary</t>
  </si>
  <si>
    <t>% of ASHI</t>
  </si>
  <si>
    <t>Net Assets reported in FS</t>
  </si>
  <si>
    <t>ASHI as % of Net Assets</t>
  </si>
  <si>
    <t xml:space="preserve">Please note that WFP does not set aside funds for ASHI separately. Our funding policy is one for all post-employment and long-term employee benefits. Therefore, the data reported by us in  Sections 2 – 9 of this survey is with regards to all post-employment and LT benefits. </t>
  </si>
  <si>
    <r>
      <t xml:space="preserve">UNHCR      </t>
    </r>
    <r>
      <rPr>
        <u/>
        <sz val="11"/>
        <color theme="1"/>
        <rFont val="Calibri"/>
        <family val="2"/>
        <scheme val="minor"/>
      </rPr>
      <t>(Thousansd of USD)</t>
    </r>
  </si>
  <si>
    <t>UNHCR Remark</t>
  </si>
  <si>
    <r>
      <t xml:space="preserve">UNHCR's financial statement </t>
    </r>
    <r>
      <rPr>
        <b/>
        <i/>
        <u/>
        <sz val="11"/>
        <rFont val="Calibri"/>
        <family val="2"/>
        <scheme val="minor"/>
      </rPr>
      <t xml:space="preserve">excludes </t>
    </r>
    <r>
      <rPr>
        <sz val="11"/>
        <rFont val="Calibri"/>
        <family val="2"/>
        <scheme val="minor"/>
      </rPr>
      <t xml:space="preserve">the ASHI liability amount pertaining to the staff funded from UN Regular Budget as the liability for them is to be met from the UN's Regular Budget. </t>
    </r>
  </si>
  <si>
    <r>
      <t xml:space="preserve">IPSAS 39:  Definition:  </t>
    </r>
    <r>
      <rPr>
        <b/>
        <i/>
        <u/>
        <sz val="11"/>
        <rFont val="Calibri"/>
        <family val="2"/>
        <scheme val="minor"/>
      </rPr>
      <t>Plan Asset</t>
    </r>
    <r>
      <rPr>
        <sz val="11"/>
        <rFont val="Calibri"/>
        <family val="2"/>
        <scheme val="minor"/>
      </rPr>
      <t xml:space="preserve">s are held by an entity that is </t>
    </r>
    <r>
      <rPr>
        <b/>
        <i/>
        <u/>
        <sz val="11"/>
        <rFont val="Calibri"/>
        <family val="2"/>
        <scheme val="minor"/>
      </rPr>
      <t>legally separate from the reporting entity</t>
    </r>
    <r>
      <rPr>
        <sz val="11"/>
        <rFont val="Calibri"/>
        <family val="2"/>
        <scheme val="minor"/>
      </rPr>
      <t xml:space="preserve"> and exists solely to pay or fund employee benefits, and are available to be used only to pay or fund employee benefits, </t>
    </r>
    <r>
      <rPr>
        <b/>
        <i/>
        <u/>
        <sz val="11"/>
        <rFont val="Calibri"/>
        <family val="2"/>
        <scheme val="minor"/>
      </rPr>
      <t>are not available to the reporting entity's own creditors (even in bankruptcy)</t>
    </r>
    <r>
      <rPr>
        <sz val="11"/>
        <rFont val="Calibri"/>
        <family val="2"/>
        <scheme val="minor"/>
      </rPr>
      <t xml:space="preserve"> and cannot be returned to the reporting entity, unless ....</t>
    </r>
  </si>
  <si>
    <t>- 3% charge is levied on all posts for staff participating UNSMIS plan - covering all professional staff globally and general service staff in HQ Geneva and a few other locations.  
 - The 3% charging has been expand to all insurance plans (both UNSMIS and MIP) from 2017.
'- UNHCR has introduced to accrue the current year cost (service cost &amp; interest cost) charging current year budget in 2017.</t>
  </si>
  <si>
    <t>-  A lump sum amount was transferred from MIP reserve towards ASHI as the fund balance in MIP fund is above and beyond the mandatory reserve outlined in the TOR. The amount is about 3 % of the salary cost of MIP participants. 
- This  type of fund transfer will cease from 2017 as UNHCR expanded 3% salary charge for funding ASHI liabilities to MIP participants in 2017.</t>
  </si>
  <si>
    <t>Mercer Switzerland SA</t>
  </si>
  <si>
    <t>N</t>
  </si>
  <si>
    <t>Y</t>
  </si>
  <si>
    <t>000 USD</t>
  </si>
  <si>
    <t>Gross Obligation</t>
  </si>
  <si>
    <t>Offsets from contributions made by plan particpants</t>
  </si>
  <si>
    <t>Net obligation reported in Financial statement</t>
  </si>
  <si>
    <t>None</t>
  </si>
  <si>
    <t>UNITAR</t>
  </si>
  <si>
    <t xml:space="preserve">Kindly note that :
• UNITAR is not supported by regular budget and fully funded by extra-budgetary only.
• ASHI Liabilities reported in financial statement are on net basis . I have provided the gross and net figures separately.
</t>
  </si>
  <si>
    <t xml:space="preserve">From: Joel THALLA </t>
  </si>
  <si>
    <t xml:space="preserve">From: Maryna MANANIKOVA </t>
  </si>
  <si>
    <t>UNDP</t>
  </si>
  <si>
    <t>Gross (before offsets) ASHI liability reported in  the financial statements (thousands US$)</t>
  </si>
  <si>
    <t>Funds accumulated in the year contributing to the total funding of the ASHI liability (thousands of US$)</t>
  </si>
  <si>
    <t>Total funding of the ASHI liability at year-end (thousands of US$)</t>
  </si>
  <si>
    <t>Of which return on the investment (ROI) of the funding amount of:(thousands of US$)</t>
  </si>
  <si>
    <t>Funding from payroll charge in the current year (thousands of US$)</t>
  </si>
  <si>
    <t>0-8%</t>
  </si>
  <si>
    <t>2.5-8%</t>
  </si>
  <si>
    <t>Ernst &amp; Young Actuaires-Conseils</t>
  </si>
  <si>
    <t>ALL VALUES ARE REPORTED IN THE THOUSANDS OF UNITED STATES DOLLARS</t>
  </si>
  <si>
    <t>UNFPA</t>
  </si>
  <si>
    <t>UNFPA - SURVEY ON ASHI CIRCULATED BY THE CHAIR, TASK FORCE ON ACCOUNTING STANDARDS ON 23 AUGUST 2017</t>
  </si>
  <si>
    <t>Comments</t>
  </si>
  <si>
    <t>It is unclear what is meant by 'Regular budget' and 'non RB' in the context of UN funds and programmes.  Moreover, UNFPA does not track its ASHI liability and related funding based on budget source.  Therefore, all amounts reported in the questionnaire are cumulative for all budget sources in UNFPA.</t>
  </si>
  <si>
    <t xml:space="preserve">Salary' mass is assumed to be equal to:
IP = Gross salary + post adjustment - staff assessment;
GS &amp; NO = Gross salary - staff assessment </t>
  </si>
  <si>
    <r>
      <t xml:space="preserve">Amounts of funding from payroll charge that are reported on this line consist of:
* Proceeds of 4% payroll surcharge (see 2.a and 4.a);
* </t>
    </r>
    <r>
      <rPr>
        <i/>
        <sz val="11"/>
        <rFont val="Calibri"/>
        <family val="2"/>
        <scheme val="minor"/>
      </rPr>
      <t>Less:</t>
    </r>
    <r>
      <rPr>
        <sz val="11"/>
        <rFont val="Calibri"/>
        <family val="2"/>
        <scheme val="minor"/>
      </rPr>
      <t xml:space="preserve"> ASHI premiums paid during the year.
In other words, funding collected through payroll surcharges is used to pay ASHI premiums of active retires and residual amount is used towards funding of payments due in future years.</t>
    </r>
  </si>
  <si>
    <t>Please note that this is the same percentage and same funding source as reported under 2.a</t>
  </si>
  <si>
    <t>It is assumed that health insurance contributions are different from health insurance expenditures only for self-insured and self-administered plans.  UNFPA has no such plans.  Even though US-based health insurance plans (e.g. Blue Cross Blue Shield, Aetna, etc.) are self-insured, they are administered by third party providers and overseen by the UN Insurance Unit.  Role of UNFPA is limited to paying organization-sponsored share of ASHI premiums to the UN based on the bill received.  Amount of premiums is set by the UN Insurance Unit on annual basis.  Therefore amount of UNFPA 'contributions' is equal to amount of 'expenditures'.</t>
  </si>
  <si>
    <t>None of the monies set aside by UNFPA for funding of ASHI liability meets the definition of 'plan assets', as defined in IPSAS 39.  So if the question refers to 'assets' as per IPSAS 39, then response to this question is 'N/A'.
If the question refers to general strategy adopted by UNFPA for funding of ASHI, then UNFPA utilizes 3 main sources for funding of ASHI liability:
1) interest earned from investment of funds already set aside for ASHI;
2) 4% payroll surcharge applied on staff salaries (surcharge is applied on net salaries, which for IP staff are defined as gross salaries plus post adjustment less staff assessment; for GS + NO staff, net salary is defined as gross salary less staff assessment);
3) discretionary transfers from fund balances otherwise available for programming.  Amount of discretionary funding is determined by management at the end of each year.</t>
  </si>
  <si>
    <t>Other method of funding represent discretionary funds set aside by management from resources that are otherwise available for programming towards funding of ASHI liability</t>
  </si>
  <si>
    <t>Buck consultants</t>
  </si>
  <si>
    <t>Ernst &amp; Young Actuaires</t>
  </si>
  <si>
    <t>1.b</t>
  </si>
  <si>
    <t>Gross liability as a percentage of total assets reported in financial statements (%)</t>
  </si>
  <si>
    <t xml:space="preserve">The accumulatd reserves of the health insurance fund are not specifically applied to funding the ASHI liability. Notwithstanding that they are a combination of employee and employer contributions and investment gains, the total amount appears as an aset on the consolidated statement of financial position. </t>
  </si>
  <si>
    <t>AON Hewith</t>
  </si>
  <si>
    <t>ILO</t>
  </si>
  <si>
    <t>UNIDO</t>
  </si>
  <si>
    <t>ASHI is not funded, settled via PAYG</t>
  </si>
  <si>
    <t>YES</t>
  </si>
  <si>
    <t>UNROE Y/E</t>
  </si>
  <si>
    <t>Gross (before offsets) ASHI liability reported in  the financial statements (EUR)</t>
  </si>
  <si>
    <t>total net assets (EUR)</t>
  </si>
  <si>
    <t>Cost of ASHI valuations (EUR)</t>
  </si>
  <si>
    <t>Assumption</t>
  </si>
  <si>
    <t>Net change in net assets. Excludes discretionery funding</t>
  </si>
  <si>
    <t>As percentage of total employee benefit expenses</t>
  </si>
  <si>
    <t>ASHI and MIP net asset balance. Includes discretionery funding component</t>
  </si>
  <si>
    <t>UNICEF began funding ASHI through investments effective 2016</t>
  </si>
  <si>
    <t>ROI only applicable  for 2016</t>
  </si>
  <si>
    <t>All ASHI liability  are not ring-fenced</t>
  </si>
  <si>
    <t xml:space="preserve"> 89* account for ASHI and MIP</t>
  </si>
  <si>
    <t>Average payroll charge calculation (total funding/total EB expenses)</t>
  </si>
  <si>
    <t>Funding is less than expenditure for all years</t>
  </si>
  <si>
    <t>Discretionary funding allocation</t>
  </si>
  <si>
    <t>E&amp;Y</t>
  </si>
  <si>
    <t>No Invoice</t>
  </si>
  <si>
    <t>UNICEF</t>
  </si>
  <si>
    <t>ICAO</t>
  </si>
  <si>
    <t>ICAO has created a Revolving Fund for the purpose of recording the transactions related to ASHI and as as an initial step, ICAO set aside USD 1.3 million from the cash surplus to fund long-term employee benefits liabilities, but no further build-up has been made since that initial contribution.</t>
  </si>
  <si>
    <t>WIPO</t>
  </si>
  <si>
    <t xml:space="preserve">USD/CHF UN rate </t>
  </si>
  <si>
    <r>
      <t>Gross (before offsets) ASHI liability reported in  the financial statements (US$)</t>
    </r>
    <r>
      <rPr>
        <b/>
        <sz val="11"/>
        <color rgb="FFFF0000"/>
        <rFont val="Calibri"/>
        <family val="2"/>
        <scheme val="minor"/>
      </rPr>
      <t xml:space="preserve"> (1) (in millions of USD)</t>
    </r>
  </si>
  <si>
    <r>
      <t xml:space="preserve">Funds accumulated in the year contributing to the total funding of the ASHI liability (US$) </t>
    </r>
    <r>
      <rPr>
        <b/>
        <sz val="11"/>
        <color rgb="FFFF0000"/>
        <rFont val="Calibri"/>
        <family val="2"/>
        <scheme val="minor"/>
      </rPr>
      <t>(2) (in millions of USD)</t>
    </r>
  </si>
  <si>
    <r>
      <t xml:space="preserve">N/A </t>
    </r>
    <r>
      <rPr>
        <b/>
        <sz val="11"/>
        <color rgb="FFFF0000"/>
        <rFont val="Calibri"/>
        <family val="2"/>
        <scheme val="minor"/>
      </rPr>
      <t>(3)</t>
    </r>
  </si>
  <si>
    <r>
      <t xml:space="preserve">6% + additonal 2% </t>
    </r>
    <r>
      <rPr>
        <b/>
        <sz val="11"/>
        <color rgb="FFFF0000"/>
        <rFont val="Calibri"/>
        <family val="2"/>
        <scheme val="minor"/>
      </rPr>
      <t>(4)</t>
    </r>
  </si>
  <si>
    <r>
      <t>Total funding of the ASHI liability at year-end (US$)</t>
    </r>
    <r>
      <rPr>
        <b/>
        <sz val="11"/>
        <color rgb="FFFF0000"/>
        <rFont val="Calibri"/>
        <family val="2"/>
        <scheme val="minor"/>
      </rPr>
      <t xml:space="preserve"> (in millions of USD)</t>
    </r>
  </si>
  <si>
    <r>
      <t>Of which</t>
    </r>
    <r>
      <rPr>
        <b/>
        <i/>
        <sz val="11"/>
        <color theme="1"/>
        <rFont val="Calibri"/>
        <family val="2"/>
        <scheme val="minor"/>
      </rPr>
      <t xml:space="preserve"> earmarked</t>
    </r>
    <r>
      <rPr>
        <i/>
        <sz val="11"/>
        <color theme="1"/>
        <rFont val="Calibri"/>
        <family val="2"/>
        <scheme val="minor"/>
      </rPr>
      <t>, but not ring-fenced as per IPSAS 39 (US$)</t>
    </r>
  </si>
  <si>
    <r>
      <t xml:space="preserve">Funding from payroll charge in the current year (US$) (5) </t>
    </r>
    <r>
      <rPr>
        <b/>
        <sz val="11"/>
        <color rgb="FFFF0000"/>
        <rFont val="Calibri"/>
        <family val="2"/>
        <scheme val="minor"/>
      </rPr>
      <t>(in millions of USD)</t>
    </r>
  </si>
  <si>
    <r>
      <t xml:space="preserve">Funding from excess of health insurance contributions over health insurance expenditure in the current year (US$) </t>
    </r>
    <r>
      <rPr>
        <b/>
        <sz val="11"/>
        <color rgb="FFFF0000"/>
        <rFont val="Calibri"/>
        <family val="2"/>
        <scheme val="minor"/>
      </rPr>
      <t>(5)</t>
    </r>
  </si>
  <si>
    <t>MERCER (Switzerland) SA</t>
  </si>
  <si>
    <r>
      <t xml:space="preserve">Cost of ASHI valuations (US$) </t>
    </r>
    <r>
      <rPr>
        <b/>
        <sz val="11"/>
        <color rgb="FFFF0000"/>
        <rFont val="Calibri"/>
        <family val="2"/>
        <scheme val="minor"/>
      </rPr>
      <t xml:space="preserve">in USD </t>
    </r>
  </si>
  <si>
    <t>(1)</t>
  </si>
  <si>
    <t xml:space="preserve"> WIPO applies the corridor method to its accounting treatment of the actuarial gains and losses.</t>
  </si>
  <si>
    <t>(2)</t>
  </si>
  <si>
    <t>The funding is dedicated to after-service employee benefits liabilities, not only ASHI. In 2013 the Member States decided to set aside monies in a separate bank account to cover 50 per cent of the total liability for long-term employee benefits as at December 31, 2013, and to supplement this amount each year with the balance available from the budgeted 6 per cent charge against payroll costs, after deduction of the payment of long-term employee benefits.</t>
  </si>
  <si>
    <t>(3)</t>
  </si>
  <si>
    <t>The funding has been approved by the member States in 2013 and implemented in 2014</t>
  </si>
  <si>
    <t>(4)</t>
  </si>
  <si>
    <t>The additional 2% were calculated on the cost of posts for the biennium 2014-2015</t>
  </si>
  <si>
    <t>(5)</t>
  </si>
  <si>
    <t xml:space="preserve">WIPO is externally insured. Excess of health insurance contributions could impact future premiums' amounts level. </t>
  </si>
  <si>
    <t>IAEA (in USD '000)</t>
  </si>
  <si>
    <t>Valida</t>
  </si>
  <si>
    <t>Cost of ASHI valuations (US$) ***</t>
  </si>
  <si>
    <t>*** Note that fluctuations between 2012 and 2015 are due to USD/EUR exchange rates - underlying cost in EUR was consistent during this period.  In 2016, there was a new cost basis in EUR as we changed actuaries</t>
  </si>
  <si>
    <t>ASHI as % of Net assets</t>
  </si>
  <si>
    <t>USD</t>
  </si>
  <si>
    <t>Net Assets</t>
  </si>
  <si>
    <t>EUR</t>
  </si>
  <si>
    <t>ASHI liability</t>
  </si>
  <si>
    <t>Gesamt-DBO zum Bewertungsdatum</t>
  </si>
  <si>
    <t>Total DBO at Measurement Date</t>
  </si>
  <si>
    <t>DBO zum Bewertungsdatum</t>
  </si>
  <si>
    <t>DBO at Measurement Date</t>
  </si>
  <si>
    <t>Pensionierte</t>
  </si>
  <si>
    <t>Unverfallbare</t>
  </si>
  <si>
    <t>https://treasury.un.org/operationalrates/OperationalRates.php</t>
  </si>
  <si>
    <t>USD/EUR</t>
  </si>
  <si>
    <t>31.12.2016 or    01.01.2017</t>
  </si>
  <si>
    <t>31.12.2015 or    01.01.2016</t>
  </si>
  <si>
    <t>31.12.2014 or    01.01.2015</t>
  </si>
  <si>
    <t>31.12.2013 or    01.01.2014</t>
  </si>
  <si>
    <t>31.12.2012 or    01.01.2013</t>
  </si>
  <si>
    <t>Bewertungs-
datum</t>
  </si>
  <si>
    <t>Aufteilung der DBO</t>
  </si>
  <si>
    <t>Measurement
Date</t>
  </si>
  <si>
    <t>Restated</t>
  </si>
  <si>
    <t>(Thousands of United States Dollas)</t>
  </si>
  <si>
    <t>United Nations - Volume I (Non-peacekeeping operations)</t>
  </si>
  <si>
    <t>Total Liabilities RB &amp; XB 2012-2016</t>
  </si>
  <si>
    <t>-</t>
  </si>
  <si>
    <t>Effective January 2017, a monthly accrual equivalent to 3% of gross salary plus post adjustments will be applied through payroll to all posts funded by voluntary contributions.  These funds will be pooled  and used to pay for current anf tuture liability, thus relieving offices from 'pay as yop go" charges. The pool of funds will be evaluated on an ongoing basis.</t>
  </si>
  <si>
    <t>Buck Consultants</t>
  </si>
  <si>
    <t>Ernst &amp; Young</t>
  </si>
  <si>
    <t>Ernest &amp; Young</t>
  </si>
  <si>
    <t>United Nations - Volume II (Peacekeeping operations)</t>
  </si>
  <si>
    <t>Yes, E&amp;Y from HQ</t>
  </si>
  <si>
    <t>n/a</t>
  </si>
  <si>
    <t>24,750,000 combined</t>
  </si>
  <si>
    <t>17,805,000 combined</t>
  </si>
  <si>
    <t>121,186,000 combined</t>
  </si>
  <si>
    <t>84,725,000 combined</t>
  </si>
  <si>
    <t>Ernst and Young</t>
  </si>
  <si>
    <t>UNU has adopted a flat rate of 1.3% of payroll cost to fund ASHI liability</t>
  </si>
  <si>
    <t>Funding commenced in 2014</t>
  </si>
  <si>
    <t>1.3% of payroll with effect 1st Jan 2014 (IPSAS implementation)</t>
  </si>
  <si>
    <t>Computed by adding prior year's funding</t>
  </si>
  <si>
    <t>Net, after contributions, per financial statements</t>
  </si>
  <si>
    <t>United Nations University</t>
  </si>
  <si>
    <t>Financial Statements</t>
  </si>
  <si>
    <t>Net</t>
  </si>
  <si>
    <t>Contributions</t>
  </si>
  <si>
    <t>Gross ASHI Liability</t>
  </si>
  <si>
    <t>Below are the Gross ASHI Liability USD000</t>
  </si>
  <si>
    <t>International Criminal Tribunal for Former Yugoslavia</t>
  </si>
  <si>
    <t>International Criminal Tribunal for Rwanda</t>
  </si>
  <si>
    <t>Yes for MICT, no for former ICTR</t>
  </si>
  <si>
    <t>Residual Mechanism for International Criminal Tribunals</t>
  </si>
  <si>
    <t>UNODC</t>
  </si>
  <si>
    <t>46,815,000(a)</t>
  </si>
  <si>
    <t>9% (1 month)(b)</t>
  </si>
  <si>
    <t>9% (b)</t>
  </si>
  <si>
    <t>9% (b )</t>
  </si>
  <si>
    <t xml:space="preserve">(a)The 2014 amounts were provided by OPPBA based on staffing table due to actuarial report performed by funding source without distinguishing UNODC.  </t>
  </si>
  <si>
    <t>(b) Please note that the amounts are net including staff assessment.  Strarting 2017 the rate is 9% gross amount which excludes staff assessment</t>
  </si>
  <si>
    <t>WHO Staff Health Insurance Fund (on behalf of WHO, IARC, ICC, PAHO, UNAIDS, and UNITAID)</t>
  </si>
  <si>
    <t>?</t>
  </si>
  <si>
    <t>Not available</t>
  </si>
  <si>
    <t xml:space="preserve">The SHI is a trust fund of WHO. It is treated as a multi-employer plan for various participating entities. WHO has had its own independent SHI scheme since 1 January 1960, and the financial statements of SHI are reported separately from the rest of WHO’s financial statements. The SHI Rules include an obligation to build reserves to fund long term liabilities for current and future retirees. </t>
  </si>
  <si>
    <t>Investment earnings.
Transfer of reserves from entity.</t>
  </si>
  <si>
    <t>AON Hewitt Corporation</t>
  </si>
  <si>
    <t>PAHO conducted its own separate valuation (not included here)</t>
  </si>
  <si>
    <t>PAHO valuation included</t>
  </si>
  <si>
    <t>*** Contribution rates:</t>
  </si>
  <si>
    <t>Staff Share</t>
  </si>
  <si>
    <t>Staff member</t>
  </si>
  <si>
    <t>Spouse</t>
  </si>
  <si>
    <t>Dependent child (0-21)</t>
  </si>
  <si>
    <t>Non-recognized dependent child (18-25)</t>
  </si>
  <si>
    <t>Secondary dependant</t>
  </si>
  <si>
    <t>Temp. staff paid on daily basis (SHI Rules App.C)</t>
  </si>
  <si>
    <t>WHO Share</t>
  </si>
  <si>
    <t>We have left 2 lines with questions as we would still appreciate clarification before completing those lines:</t>
  </si>
  <si>
    <t> </t>
  </si>
  <si>
    <t>Re 2.a – Percentage of salary mass (including post adjustment) allocated to the funding of the ASHI liability (%) – does this only apply to current employees – i.e. excluding the contribution from retired staff?   We are not clear how this should be derived.</t>
  </si>
  <si>
    <t>Re 4.2 – Payroll charge percentage (%) – does this refer to the employee and employer contribution rates (which would depend on number and type of dependents) or this is referring to a payroll charge in addition to the contribution rates?</t>
  </si>
  <si>
    <r>
      <t xml:space="preserve">Percentage of salary mass (incl. post adjustment) allocated to the funding of the ASHI liability (%) - </t>
    </r>
    <r>
      <rPr>
        <i/>
        <sz val="11"/>
        <color rgb="FFFF0000"/>
        <rFont val="Calibri"/>
        <family val="2"/>
        <scheme val="minor"/>
      </rPr>
      <t>see question below</t>
    </r>
  </si>
  <si>
    <r>
      <t xml:space="preserve">Payroll charge percentage (%) - </t>
    </r>
    <r>
      <rPr>
        <i/>
        <sz val="11"/>
        <color rgb="FFFF0000"/>
        <rFont val="Calibri"/>
        <family val="2"/>
        <scheme val="minor"/>
      </rPr>
      <t>see question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</si>
</sst>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_-* #,##0.00_-;\-* #,##0.00_-;_-* &quot;-&quot;??_-;_-@_-"/>
    <numFmt numFmtId="165" formatCode="0.000"/>
    <numFmt numFmtId="166" formatCode="_-* #,##0_-;\-* #,##0_-;_-* &quot;-&quot;??_-;_-@_-"/>
    <numFmt numFmtId="167" formatCode="_(* #,##0_);_(* \(#,##0\);_(* &quot;-&quot;??_);_(@_)"/>
    <numFmt numFmtId="168" formatCode="0.0%"/>
    <numFmt numFmtId="169" formatCode="#,##0.0"/>
    <numFmt numFmtId="170" formatCode="0.0"/>
    <numFmt numFmtId="171" formatCode="_(* #\ ###\ ##0_);_(* \(#\ ###\ ##0\);_(* &quot;-&quot;_);_(@_)"/>
    <numFmt numFmtId="172" formatCode="_ * #,##0.00_ ;_ * \-#,##0.00_ ;_ * &quot;-&quot;??_ ;_ @_ "/>
    <numFmt numFmtId="173" formatCode="_ * #,##0_ ;_ * \-#,##0_ ;_ * &quot;-&quot;??_ ;_ @_ "/>
    <numFmt numFmtId="174" formatCode="_-* #,##0.0_-;\-* #,##0.0_-;_-* &quot;-&quot;??_-;_-@_-"/>
  </numFmts>
  <fonts count="35" x14ac:knownFonts="1">
    <font>
      <sz val="11"/>
      <color theme="1"/>
      <name val="Calibri"/>
      <family val="2"/>
      <scheme val="minor"/>
    </font>
    <font>
      <b/>
      <sz val="11"/>
      <color theme="1"/>
      <name val="Calibri"/>
      <family val="2"/>
      <scheme val="minor"/>
    </font>
    <font>
      <i/>
      <sz val="11"/>
      <color theme="1"/>
      <name val="Calibri"/>
      <family val="2"/>
      <scheme val="minor"/>
    </font>
    <font>
      <u/>
      <sz val="11"/>
      <color theme="1"/>
      <name val="Calibri"/>
      <family val="2"/>
      <scheme val="minor"/>
    </font>
    <font>
      <b/>
      <u/>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rgb="FFFF0000"/>
      <name val="Calibri"/>
      <family val="2"/>
      <scheme val="minor"/>
    </font>
    <font>
      <b/>
      <sz val="9"/>
      <color indexed="81"/>
      <name val="Tahoma"/>
      <family val="2"/>
    </font>
    <font>
      <sz val="9"/>
      <color indexed="81"/>
      <name val="Tahoma"/>
      <family val="2"/>
    </font>
    <font>
      <b/>
      <u/>
      <sz val="11"/>
      <color theme="3"/>
      <name val="Calibri"/>
      <family val="2"/>
      <scheme val="minor"/>
    </font>
    <font>
      <sz val="11"/>
      <name val="Calibri"/>
      <family val="2"/>
      <scheme val="minor"/>
    </font>
    <font>
      <b/>
      <i/>
      <u/>
      <sz val="11"/>
      <name val="Calibri"/>
      <family val="2"/>
      <scheme val="minor"/>
    </font>
    <font>
      <sz val="11"/>
      <color rgb="FF9C6500"/>
      <name val="Calibri"/>
      <family val="2"/>
      <scheme val="minor"/>
    </font>
    <font>
      <b/>
      <sz val="11"/>
      <name val="Calibri"/>
      <family val="2"/>
      <scheme val="minor"/>
    </font>
    <font>
      <b/>
      <u/>
      <sz val="11"/>
      <name val="Calibri"/>
      <family val="2"/>
      <scheme val="minor"/>
    </font>
    <font>
      <u/>
      <sz val="11"/>
      <name val="Calibri"/>
      <family val="2"/>
      <scheme val="minor"/>
    </font>
    <font>
      <i/>
      <sz val="11"/>
      <name val="Calibri"/>
      <family val="2"/>
      <scheme val="minor"/>
    </font>
    <font>
      <i/>
      <sz val="11"/>
      <color rgb="FFFF0000"/>
      <name val="Calibri"/>
      <family val="2"/>
      <scheme val="minor"/>
    </font>
    <font>
      <sz val="11"/>
      <color rgb="FF7030A0"/>
      <name val="Calibri"/>
      <family val="2"/>
      <scheme val="minor"/>
    </font>
    <font>
      <b/>
      <sz val="11"/>
      <color rgb="FF7030A0"/>
      <name val="Calibri"/>
      <family val="2"/>
      <scheme val="minor"/>
    </font>
    <font>
      <b/>
      <u/>
      <sz val="11"/>
      <color rgb="FFFF0000"/>
      <name val="Calibri"/>
      <family val="2"/>
      <scheme val="minor"/>
    </font>
    <font>
      <b/>
      <i/>
      <sz val="11"/>
      <color theme="1"/>
      <name val="Calibri"/>
      <family val="2"/>
      <scheme val="minor"/>
    </font>
    <font>
      <sz val="10"/>
      <name val="Arial"/>
      <family val="2"/>
    </font>
    <font>
      <sz val="10"/>
      <name val="Verdana"/>
      <family val="2"/>
    </font>
    <font>
      <i/>
      <sz val="10"/>
      <name val="Verdana"/>
      <family val="2"/>
    </font>
    <font>
      <b/>
      <sz val="10"/>
      <color indexed="9"/>
      <name val="Verdana"/>
      <family val="2"/>
    </font>
    <font>
      <sz val="10"/>
      <color indexed="9"/>
      <name val="Verdana"/>
      <family val="2"/>
    </font>
    <font>
      <b/>
      <sz val="12"/>
      <color indexed="9"/>
      <name val="Verdana"/>
      <family val="2"/>
    </font>
    <font>
      <sz val="10"/>
      <color theme="1"/>
      <name val="Times New Roman"/>
      <family val="1"/>
    </font>
    <font>
      <b/>
      <sz val="8"/>
      <color indexed="81"/>
      <name val="Tahoma"/>
      <family val="2"/>
    </font>
    <font>
      <sz val="8"/>
      <color indexed="81"/>
      <name val="Tahoma"/>
      <family val="2"/>
    </font>
    <font>
      <b/>
      <sz val="9"/>
      <color indexed="81"/>
      <name val="Tahoma"/>
      <charset val="1"/>
    </font>
    <font>
      <sz val="9"/>
      <color indexed="81"/>
      <name val="Tahoma"/>
      <charset val="1"/>
    </font>
  </fonts>
  <fills count="13">
    <fill>
      <patternFill patternType="none"/>
    </fill>
    <fill>
      <patternFill patternType="gray125"/>
    </fill>
    <fill>
      <patternFill patternType="solid">
        <fgColor theme="0" tint="-0.14999847407452621"/>
        <bgColor indexed="64"/>
      </patternFill>
    </fill>
    <fill>
      <patternFill patternType="darkUp"/>
    </fill>
    <fill>
      <patternFill patternType="solid">
        <fgColor theme="0"/>
        <bgColor indexed="64"/>
      </patternFill>
    </fill>
    <fill>
      <patternFill patternType="solid">
        <fgColor rgb="FFFFEB9C"/>
      </patternFill>
    </fill>
    <fill>
      <patternFill patternType="solid">
        <fgColor theme="4" tint="0.79998168889431442"/>
        <bgColor indexed="64"/>
      </patternFill>
    </fill>
    <fill>
      <patternFill patternType="darkUp">
        <bgColor theme="4" tint="0.79998168889431442"/>
      </patternFill>
    </fill>
    <fill>
      <patternFill patternType="solid">
        <fgColor rgb="FFFFFF0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59999389629810485"/>
        <bgColor indexed="64"/>
      </patternFill>
    </fill>
  </fills>
  <borders count="103">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style="dotted">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double">
        <color indexed="64"/>
      </right>
      <top/>
      <bottom/>
      <diagonal/>
    </border>
    <border>
      <left/>
      <right style="double">
        <color indexed="64"/>
      </right>
      <top style="dotted">
        <color indexed="64"/>
      </top>
      <bottom style="dotted">
        <color indexed="64"/>
      </bottom>
      <diagonal/>
    </border>
    <border>
      <left/>
      <right style="double">
        <color indexed="64"/>
      </right>
      <top style="dotted">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top/>
      <bottom/>
      <diagonal/>
    </border>
    <border>
      <left/>
      <right style="thin">
        <color auto="1"/>
      </right>
      <top style="thin">
        <color auto="1"/>
      </top>
      <bottom/>
      <diagonal/>
    </border>
    <border>
      <left style="double">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double">
        <color indexed="64"/>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style="medium">
        <color indexed="64"/>
      </left>
      <right style="hair">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right style="hair">
        <color indexed="64"/>
      </right>
      <top style="thin">
        <color indexed="64"/>
      </top>
      <bottom style="dotted">
        <color indexed="64"/>
      </bottom>
      <diagonal/>
    </border>
    <border>
      <left style="double">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double">
        <color indexed="64"/>
      </left>
      <right/>
      <top style="thin">
        <color indexed="64"/>
      </top>
      <bottom/>
      <diagonal/>
    </border>
    <border>
      <left style="medium">
        <color indexed="64"/>
      </left>
      <right/>
      <top style="thin">
        <color indexed="64"/>
      </top>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style="thin">
        <color indexed="64"/>
      </left>
      <right style="thin">
        <color indexed="64"/>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tted">
        <color indexed="64"/>
      </bottom>
      <diagonal/>
    </border>
    <border>
      <left/>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16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14" fillId="5" borderId="0" applyNumberFormat="0" applyBorder="0" applyAlignment="0" applyProtection="0"/>
    <xf numFmtId="0" fontId="24" fillId="0" borderId="0"/>
    <xf numFmtId="172" fontId="5" fillId="0" borderId="0" applyFont="0" applyFill="0" applyBorder="0" applyAlignment="0" applyProtection="0"/>
  </cellStyleXfs>
  <cellXfs count="728">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wrapText="1"/>
    </xf>
    <xf numFmtId="0" fontId="1" fillId="0" borderId="4" xfId="0" applyFont="1" applyBorder="1" applyAlignment="1">
      <alignment horizontal="center" vertical="center" wrapText="1"/>
    </xf>
    <xf numFmtId="0" fontId="0" fillId="0" borderId="8" xfId="0" applyBorder="1"/>
    <xf numFmtId="0" fontId="0" fillId="0" borderId="9" xfId="0"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0" borderId="14" xfId="0" applyBorder="1"/>
    <xf numFmtId="0" fontId="0" fillId="0" borderId="15" xfId="0" applyBorder="1"/>
    <xf numFmtId="0" fontId="3" fillId="0" borderId="0" xfId="0" applyFont="1" applyAlignment="1">
      <alignment horizontal="center"/>
    </xf>
    <xf numFmtId="0" fontId="1" fillId="0" borderId="16" xfId="0" applyFont="1" applyBorder="1" applyAlignment="1">
      <alignment horizontal="center" vertical="center" wrapText="1"/>
    </xf>
    <xf numFmtId="0" fontId="1" fillId="2" borderId="17" xfId="0" applyFont="1" applyFill="1" applyBorder="1" applyAlignment="1">
      <alignment horizontal="right"/>
    </xf>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1" fillId="0" borderId="0" xfId="0" applyFont="1" applyAlignment="1">
      <alignment horizontal="center" vertical="center"/>
    </xf>
    <xf numFmtId="0" fontId="2" fillId="0" borderId="35" xfId="0" applyFont="1" applyBorder="1" applyAlignment="1">
      <alignment vertical="center" wrapText="1"/>
    </xf>
    <xf numFmtId="0" fontId="1" fillId="0" borderId="36" xfId="0" applyFont="1" applyBorder="1" applyAlignment="1">
      <alignment vertical="center" wrapText="1"/>
    </xf>
    <xf numFmtId="0" fontId="2" fillId="0" borderId="36" xfId="0" applyFont="1" applyBorder="1" applyAlignment="1">
      <alignment vertical="center" wrapText="1"/>
    </xf>
    <xf numFmtId="0" fontId="1" fillId="0" borderId="41" xfId="0" applyFont="1" applyBorder="1" applyAlignment="1">
      <alignment vertical="center" wrapText="1"/>
    </xf>
    <xf numFmtId="0" fontId="2" fillId="0" borderId="42" xfId="0" applyFont="1" applyBorder="1" applyAlignment="1">
      <alignment vertical="center" wrapText="1"/>
    </xf>
    <xf numFmtId="0" fontId="2" fillId="0" borderId="35" xfId="0" applyFont="1" applyBorder="1" applyAlignment="1">
      <alignment vertical="top" wrapText="1"/>
    </xf>
    <xf numFmtId="0" fontId="1" fillId="0" borderId="34" xfId="0" applyFont="1" applyBorder="1" applyAlignment="1">
      <alignment vertical="center" wrapText="1"/>
    </xf>
    <xf numFmtId="0" fontId="1" fillId="0" borderId="38" xfId="0" applyFont="1" applyBorder="1" applyAlignment="1">
      <alignment vertical="center" wrapText="1"/>
    </xf>
    <xf numFmtId="0" fontId="1" fillId="0" borderId="40" xfId="0" applyFont="1" applyBorder="1" applyAlignment="1">
      <alignment horizontal="center" vertical="center"/>
    </xf>
    <xf numFmtId="0" fontId="1" fillId="0" borderId="44" xfId="0" applyFont="1" applyBorder="1" applyAlignment="1">
      <alignment horizontal="center" vertical="center"/>
    </xf>
    <xf numFmtId="0" fontId="1" fillId="0" borderId="22"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xf numFmtId="0" fontId="0" fillId="3" borderId="9" xfId="0" applyFill="1" applyBorder="1"/>
    <xf numFmtId="0" fontId="1" fillId="0" borderId="36" xfId="0" applyFont="1" applyFill="1" applyBorder="1" applyAlignment="1">
      <alignment vertical="center" wrapText="1"/>
    </xf>
    <xf numFmtId="0" fontId="1" fillId="0" borderId="41" xfId="0" applyFont="1" applyFill="1" applyBorder="1" applyAlignment="1">
      <alignment vertical="center" wrapText="1"/>
    </xf>
    <xf numFmtId="0" fontId="2" fillId="0" borderId="43" xfId="0" applyFont="1" applyFill="1" applyBorder="1" applyAlignment="1">
      <alignment vertical="top" wrapText="1"/>
    </xf>
    <xf numFmtId="0" fontId="0" fillId="0" borderId="14" xfId="0" applyFill="1" applyBorder="1"/>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3" fontId="0" fillId="0" borderId="18" xfId="0" applyNumberFormat="1" applyBorder="1"/>
    <xf numFmtId="0" fontId="0" fillId="0" borderId="11" xfId="0" applyBorder="1" applyAlignment="1">
      <alignment horizontal="center"/>
    </xf>
    <xf numFmtId="0" fontId="0" fillId="0" borderId="10" xfId="0" applyBorder="1" applyAlignment="1">
      <alignment horizontal="center"/>
    </xf>
    <xf numFmtId="0" fontId="0" fillId="0" borderId="0" xfId="0" applyAlignment="1">
      <alignment vertical="center"/>
    </xf>
    <xf numFmtId="14" fontId="0" fillId="0" borderId="0" xfId="0" applyNumberFormat="1" applyAlignment="1">
      <alignment vertical="center"/>
    </xf>
    <xf numFmtId="165" fontId="0" fillId="0" borderId="0" xfId="0" applyNumberFormat="1" applyAlignment="1">
      <alignment vertical="center"/>
    </xf>
    <xf numFmtId="0" fontId="1" fillId="0" borderId="0" xfId="0" applyFont="1" applyAlignment="1">
      <alignment vertical="center"/>
    </xf>
    <xf numFmtId="164" fontId="0" fillId="0" borderId="0" xfId="1" applyFont="1" applyAlignment="1">
      <alignment vertical="center"/>
    </xf>
    <xf numFmtId="164" fontId="1" fillId="0" borderId="45" xfId="0" applyNumberFormat="1" applyFont="1" applyBorder="1" applyAlignment="1">
      <alignment vertical="center"/>
    </xf>
    <xf numFmtId="166" fontId="0" fillId="0" borderId="0" xfId="1" applyNumberFormat="1" applyFont="1" applyAlignment="1">
      <alignment vertical="center"/>
    </xf>
    <xf numFmtId="0" fontId="1" fillId="0" borderId="40" xfId="0" applyFont="1" applyBorder="1" applyAlignment="1">
      <alignment horizontal="center" vertical="center"/>
    </xf>
    <xf numFmtId="0" fontId="1" fillId="0" borderId="40" xfId="0" applyFont="1" applyBorder="1" applyAlignment="1">
      <alignment horizontal="center" vertical="center"/>
    </xf>
    <xf numFmtId="0" fontId="4" fillId="0" borderId="0" xfId="0" applyFont="1" applyFill="1" applyAlignment="1">
      <alignment horizontal="center"/>
    </xf>
    <xf numFmtId="0" fontId="0" fillId="0" borderId="47" xfId="0" applyBorder="1"/>
    <xf numFmtId="9" fontId="0" fillId="0" borderId="19" xfId="2" applyFont="1" applyBorder="1"/>
    <xf numFmtId="9" fontId="0" fillId="0" borderId="20" xfId="2" applyFont="1" applyBorder="1"/>
    <xf numFmtId="9" fontId="0" fillId="0" borderId="18" xfId="2" applyFont="1" applyBorder="1"/>
    <xf numFmtId="0" fontId="1" fillId="4" borderId="36" xfId="0" applyFont="1" applyFill="1" applyBorder="1" applyAlignment="1">
      <alignment vertical="center" wrapText="1"/>
    </xf>
    <xf numFmtId="0" fontId="2" fillId="4" borderId="36" xfId="0" applyFont="1" applyFill="1" applyBorder="1" applyAlignment="1">
      <alignment vertical="center" wrapText="1"/>
    </xf>
    <xf numFmtId="10" fontId="0" fillId="0" borderId="22" xfId="0" applyNumberFormat="1" applyBorder="1"/>
    <xf numFmtId="9" fontId="0" fillId="0" borderId="22" xfId="0" applyNumberFormat="1" applyBorder="1"/>
    <xf numFmtId="0" fontId="2" fillId="4" borderId="35" xfId="0" applyFont="1" applyFill="1" applyBorder="1" applyAlignment="1">
      <alignment vertical="center" wrapText="1"/>
    </xf>
    <xf numFmtId="9" fontId="0" fillId="0" borderId="20" xfId="0" applyNumberFormat="1" applyBorder="1"/>
    <xf numFmtId="9" fontId="0" fillId="0" borderId="19" xfId="0" applyNumberFormat="1" applyBorder="1"/>
    <xf numFmtId="167" fontId="6" fillId="0" borderId="18" xfId="3" applyNumberFormat="1" applyFont="1" applyBorder="1"/>
    <xf numFmtId="167" fontId="6" fillId="0" borderId="14" xfId="3" applyNumberFormat="1" applyFont="1" applyFill="1" applyBorder="1" applyAlignment="1">
      <alignment horizontal="center"/>
    </xf>
    <xf numFmtId="167" fontId="6" fillId="0" borderId="47" xfId="3" applyNumberFormat="1" applyFont="1" applyBorder="1"/>
    <xf numFmtId="167" fontId="6" fillId="0" borderId="14" xfId="3" applyNumberFormat="1" applyFont="1" applyFill="1" applyBorder="1"/>
    <xf numFmtId="9" fontId="6" fillId="0" borderId="19" xfId="2" applyFont="1" applyBorder="1"/>
    <xf numFmtId="167" fontId="0" fillId="0" borderId="14" xfId="3" applyNumberFormat="1" applyFont="1" applyBorder="1"/>
    <xf numFmtId="0" fontId="6" fillId="0" borderId="21" xfId="0" applyFont="1" applyBorder="1"/>
    <xf numFmtId="0" fontId="6" fillId="0" borderId="15" xfId="0" applyFont="1" applyBorder="1"/>
    <xf numFmtId="0" fontId="6" fillId="0" borderId="22" xfId="0" applyFont="1" applyBorder="1"/>
    <xf numFmtId="167" fontId="6" fillId="0" borderId="30" xfId="3" applyNumberFormat="1" applyFont="1" applyBorder="1"/>
    <xf numFmtId="167" fontId="6" fillId="0" borderId="25" xfId="3" applyNumberFormat="1" applyFont="1" applyBorder="1"/>
    <xf numFmtId="0" fontId="8" fillId="0" borderId="0" xfId="0" applyFont="1" applyAlignment="1">
      <alignment vertical="center" wrapText="1"/>
    </xf>
    <xf numFmtId="4" fontId="0" fillId="0" borderId="47" xfId="0" applyNumberFormat="1" applyBorder="1"/>
    <xf numFmtId="10" fontId="0" fillId="0" borderId="20" xfId="2" applyNumberFormat="1" applyFont="1" applyBorder="1"/>
    <xf numFmtId="0" fontId="7" fillId="0" borderId="0" xfId="0" applyFont="1"/>
    <xf numFmtId="166" fontId="0" fillId="0" borderId="18" xfId="1" applyNumberFormat="1" applyFont="1" applyBorder="1"/>
    <xf numFmtId="0" fontId="0" fillId="0" borderId="20" xfId="0" applyBorder="1" applyAlignment="1">
      <alignment wrapText="1"/>
    </xf>
    <xf numFmtId="0" fontId="0" fillId="0" borderId="19" xfId="0" applyBorder="1" applyAlignment="1">
      <alignment horizontal="center"/>
    </xf>
    <xf numFmtId="166" fontId="0" fillId="0" borderId="21" xfId="0" applyNumberFormat="1" applyBorder="1"/>
    <xf numFmtId="166" fontId="0" fillId="0" borderId="22" xfId="0" applyNumberFormat="1" applyBorder="1"/>
    <xf numFmtId="166" fontId="12" fillId="0" borderId="22" xfId="0" applyNumberFormat="1" applyFont="1" applyBorder="1"/>
    <xf numFmtId="168" fontId="0" fillId="0" borderId="22" xfId="2" applyNumberFormat="1" applyFont="1" applyBorder="1"/>
    <xf numFmtId="0" fontId="1" fillId="0" borderId="40" xfId="0" applyFont="1" applyBorder="1" applyAlignment="1">
      <alignment horizontal="center" vertical="center"/>
    </xf>
    <xf numFmtId="166" fontId="0" fillId="0" borderId="47" xfId="1" applyNumberFormat="1" applyFont="1" applyBorder="1"/>
    <xf numFmtId="0" fontId="0" fillId="7" borderId="13" xfId="0" applyFill="1" applyBorder="1"/>
    <xf numFmtId="0" fontId="0" fillId="7" borderId="11" xfId="0" applyFill="1" applyBorder="1"/>
    <xf numFmtId="0" fontId="0" fillId="7" borderId="10" xfId="0" applyFill="1" applyBorder="1"/>
    <xf numFmtId="0" fontId="0" fillId="7" borderId="12" xfId="0" applyFill="1" applyBorder="1"/>
    <xf numFmtId="0" fontId="1" fillId="6" borderId="22" xfId="0" applyFont="1" applyFill="1" applyBorder="1" applyAlignment="1">
      <alignment horizontal="center" vertical="center"/>
    </xf>
    <xf numFmtId="0" fontId="1" fillId="6" borderId="36" xfId="0" applyFont="1" applyFill="1" applyBorder="1" applyAlignment="1">
      <alignment vertical="center" wrapText="1"/>
    </xf>
    <xf numFmtId="166" fontId="0" fillId="6" borderId="18" xfId="1" applyNumberFormat="1" applyFont="1" applyFill="1" applyBorder="1"/>
    <xf numFmtId="0" fontId="0" fillId="6" borderId="14" xfId="0" applyFill="1" applyBorder="1"/>
    <xf numFmtId="166" fontId="0" fillId="6" borderId="47" xfId="1" applyNumberFormat="1" applyFont="1" applyFill="1" applyBorder="1"/>
    <xf numFmtId="0" fontId="0" fillId="6" borderId="20" xfId="0" applyFont="1" applyFill="1" applyBorder="1" applyAlignment="1">
      <alignment horizontal="center" vertical="center"/>
    </xf>
    <xf numFmtId="0" fontId="2" fillId="6" borderId="35" xfId="0" applyFont="1" applyFill="1" applyBorder="1" applyAlignment="1">
      <alignment vertical="center" wrapText="1"/>
    </xf>
    <xf numFmtId="0" fontId="0" fillId="6" borderId="19" xfId="0" applyFill="1" applyBorder="1"/>
    <xf numFmtId="0" fontId="0" fillId="6" borderId="9" xfId="0" applyFill="1" applyBorder="1"/>
    <xf numFmtId="9" fontId="0" fillId="6" borderId="20" xfId="2" applyFont="1" applyFill="1" applyBorder="1"/>
    <xf numFmtId="166" fontId="0" fillId="6" borderId="9" xfId="1" applyNumberFormat="1" applyFont="1" applyFill="1" applyBorder="1"/>
    <xf numFmtId="0" fontId="0" fillId="6" borderId="21" xfId="0" applyFill="1" applyBorder="1"/>
    <xf numFmtId="0" fontId="0" fillId="6" borderId="15" xfId="0" applyFill="1" applyBorder="1"/>
    <xf numFmtId="166" fontId="0" fillId="6" borderId="22" xfId="1" applyNumberFormat="1" applyFont="1" applyFill="1" applyBorder="1"/>
    <xf numFmtId="0" fontId="0" fillId="6" borderId="22" xfId="0" applyFont="1" applyFill="1" applyBorder="1" applyAlignment="1">
      <alignment horizontal="center" vertical="center"/>
    </xf>
    <xf numFmtId="0" fontId="2" fillId="6" borderId="36" xfId="0" applyFont="1" applyFill="1" applyBorder="1" applyAlignment="1">
      <alignment vertical="center" wrapText="1"/>
    </xf>
    <xf numFmtId="166" fontId="0" fillId="6" borderId="22" xfId="0" applyNumberFormat="1" applyFill="1" applyBorder="1"/>
    <xf numFmtId="10" fontId="0" fillId="6" borderId="21" xfId="0" applyNumberFormat="1" applyFill="1" applyBorder="1"/>
    <xf numFmtId="10" fontId="0" fillId="6" borderId="22" xfId="0" applyNumberFormat="1" applyFill="1" applyBorder="1"/>
    <xf numFmtId="0" fontId="0" fillId="6" borderId="20" xfId="0" applyFill="1" applyBorder="1"/>
    <xf numFmtId="0" fontId="1" fillId="6" borderId="0" xfId="0" applyFont="1" applyFill="1" applyAlignment="1">
      <alignment horizontal="center" vertical="center"/>
    </xf>
    <xf numFmtId="0" fontId="0" fillId="6" borderId="0" xfId="0" applyFill="1" applyAlignment="1">
      <alignment vertical="center" wrapText="1"/>
    </xf>
    <xf numFmtId="0" fontId="0" fillId="6" borderId="0" xfId="0" applyFill="1"/>
    <xf numFmtId="166" fontId="0" fillId="0" borderId="18" xfId="0" applyNumberFormat="1" applyBorder="1"/>
    <xf numFmtId="10" fontId="0" fillId="0" borderId="19" xfId="0" applyNumberFormat="1" applyBorder="1"/>
    <xf numFmtId="0" fontId="0" fillId="0" borderId="3" xfId="0" applyBorder="1" applyAlignment="1"/>
    <xf numFmtId="0" fontId="0" fillId="0" borderId="4" xfId="0" applyBorder="1" applyAlignment="1"/>
    <xf numFmtId="166" fontId="0" fillId="0" borderId="0" xfId="1" applyNumberFormat="1" applyFont="1"/>
    <xf numFmtId="9" fontId="0" fillId="0" borderId="0" xfId="2" applyFont="1"/>
    <xf numFmtId="0" fontId="0" fillId="0" borderId="49" xfId="0" applyBorder="1"/>
    <xf numFmtId="0" fontId="0" fillId="0" borderId="20" xfId="0" applyBorder="1" applyAlignment="1">
      <alignment horizontal="center" vertical="center" wrapText="1"/>
    </xf>
    <xf numFmtId="0" fontId="0" fillId="0" borderId="23" xfId="0" applyBorder="1" applyAlignment="1">
      <alignment horizontal="center" vertical="center" wrapText="1"/>
    </xf>
    <xf numFmtId="166" fontId="1" fillId="0" borderId="18" xfId="1" applyNumberFormat="1" applyFont="1" applyBorder="1" applyAlignment="1">
      <alignment vertical="center"/>
    </xf>
    <xf numFmtId="166" fontId="1" fillId="0" borderId="14" xfId="1" applyNumberFormat="1" applyFont="1" applyFill="1" applyBorder="1" applyAlignment="1">
      <alignment vertical="center"/>
    </xf>
    <xf numFmtId="166" fontId="1" fillId="0" borderId="47" xfId="1" applyNumberFormat="1" applyFont="1" applyBorder="1" applyAlignment="1">
      <alignment vertical="center"/>
    </xf>
    <xf numFmtId="0" fontId="12" fillId="0" borderId="47" xfId="0" applyFont="1" applyFill="1" applyBorder="1" applyAlignment="1">
      <alignment vertical="center" wrapText="1"/>
    </xf>
    <xf numFmtId="168" fontId="0" fillId="0" borderId="50" xfId="2" applyNumberFormat="1" applyFont="1" applyBorder="1" applyAlignment="1">
      <alignment vertical="center"/>
    </xf>
    <xf numFmtId="168" fontId="0" fillId="0" borderId="9" xfId="2" applyNumberFormat="1" applyFont="1" applyBorder="1" applyAlignment="1">
      <alignment vertical="center"/>
    </xf>
    <xf numFmtId="168" fontId="0" fillId="0" borderId="51" xfId="2" applyNumberFormat="1" applyFont="1" applyBorder="1" applyAlignment="1">
      <alignment vertical="center"/>
    </xf>
    <xf numFmtId="0" fontId="12" fillId="0" borderId="23" xfId="0" applyFont="1" applyFill="1" applyBorder="1"/>
    <xf numFmtId="0" fontId="0" fillId="3" borderId="13" xfId="0" applyFill="1" applyBorder="1" applyAlignment="1">
      <alignment vertical="center"/>
    </xf>
    <xf numFmtId="0" fontId="0" fillId="3" borderId="11" xfId="0" applyFill="1" applyBorder="1" applyAlignment="1">
      <alignment vertical="center"/>
    </xf>
    <xf numFmtId="0" fontId="0" fillId="3" borderId="10" xfId="0" applyFill="1" applyBorder="1" applyAlignment="1">
      <alignment vertical="center"/>
    </xf>
    <xf numFmtId="0" fontId="0" fillId="3" borderId="12" xfId="0" applyFill="1" applyBorder="1" applyAlignment="1">
      <alignment vertical="center"/>
    </xf>
    <xf numFmtId="0" fontId="1" fillId="0" borderId="18" xfId="0" applyFont="1" applyBorder="1" applyAlignment="1">
      <alignment vertical="center"/>
    </xf>
    <xf numFmtId="166" fontId="1" fillId="0" borderId="14" xfId="1" applyNumberFormat="1" applyFont="1" applyBorder="1" applyAlignment="1">
      <alignment vertical="center"/>
    </xf>
    <xf numFmtId="0" fontId="1" fillId="0" borderId="47" xfId="0" applyFont="1" applyBorder="1" applyAlignment="1">
      <alignment vertical="center"/>
    </xf>
    <xf numFmtId="166" fontId="1" fillId="0" borderId="14" xfId="0" applyNumberFormat="1" applyFont="1" applyBorder="1" applyAlignment="1">
      <alignment vertical="center"/>
    </xf>
    <xf numFmtId="0" fontId="12" fillId="0" borderId="23" xfId="0" applyFont="1" applyFill="1" applyBorder="1" applyAlignment="1">
      <alignment wrapText="1"/>
    </xf>
    <xf numFmtId="0" fontId="0" fillId="0" borderId="19" xfId="0" applyBorder="1" applyAlignment="1">
      <alignment vertical="center"/>
    </xf>
    <xf numFmtId="9" fontId="0" fillId="0" borderId="9" xfId="2" applyNumberFormat="1" applyFont="1" applyBorder="1" applyAlignment="1">
      <alignment vertical="center"/>
    </xf>
    <xf numFmtId="9" fontId="0" fillId="0" borderId="20" xfId="0" applyNumberFormat="1" applyBorder="1" applyAlignment="1">
      <alignment vertical="center"/>
    </xf>
    <xf numFmtId="0" fontId="1" fillId="0" borderId="21" xfId="0" applyFont="1" applyBorder="1" applyAlignment="1">
      <alignment vertical="center"/>
    </xf>
    <xf numFmtId="166" fontId="1" fillId="0" borderId="15" xfId="1" applyNumberFormat="1" applyFont="1" applyBorder="1" applyAlignment="1">
      <alignment vertical="center"/>
    </xf>
    <xf numFmtId="166" fontId="1" fillId="0" borderId="22" xfId="1" applyNumberFormat="1" applyFont="1" applyBorder="1" applyAlignment="1">
      <alignment vertical="center"/>
    </xf>
    <xf numFmtId="0" fontId="0" fillId="0" borderId="21" xfId="0" applyBorder="1" applyAlignment="1">
      <alignment vertical="center"/>
    </xf>
    <xf numFmtId="0" fontId="0" fillId="0" borderId="15" xfId="0" applyBorder="1" applyAlignment="1">
      <alignment vertical="center"/>
    </xf>
    <xf numFmtId="0" fontId="0" fillId="0" borderId="22" xfId="0" applyBorder="1" applyAlignment="1">
      <alignment vertical="center"/>
    </xf>
    <xf numFmtId="0" fontId="0" fillId="0" borderId="8" xfId="0" applyBorder="1" applyAlignment="1">
      <alignment vertical="center"/>
    </xf>
    <xf numFmtId="0" fontId="0" fillId="0" borderId="52" xfId="0" applyBorder="1" applyAlignment="1">
      <alignment vertical="center"/>
    </xf>
    <xf numFmtId="10" fontId="0" fillId="0" borderId="8" xfId="2" applyNumberFormat="1" applyFont="1" applyBorder="1" applyAlignment="1">
      <alignment vertical="center"/>
    </xf>
    <xf numFmtId="166" fontId="0" fillId="0" borderId="28" xfId="1" applyNumberFormat="1" applyFont="1" applyBorder="1" applyAlignment="1">
      <alignment vertical="center"/>
    </xf>
    <xf numFmtId="0" fontId="0" fillId="0" borderId="53" xfId="0" applyBorder="1" applyAlignment="1">
      <alignment vertical="center"/>
    </xf>
    <xf numFmtId="166" fontId="0" fillId="0" borderId="29" xfId="0" applyNumberFormat="1" applyBorder="1" applyAlignment="1">
      <alignment vertical="center"/>
    </xf>
    <xf numFmtId="166" fontId="0" fillId="0" borderId="29" xfId="1" applyNumberFormat="1" applyFont="1" applyBorder="1" applyAlignment="1">
      <alignment vertical="center"/>
    </xf>
    <xf numFmtId="0" fontId="12" fillId="0" borderId="54" xfId="0" applyFont="1" applyFill="1" applyBorder="1" applyAlignment="1">
      <alignment vertical="center" wrapText="1"/>
    </xf>
    <xf numFmtId="0" fontId="0" fillId="0" borderId="9" xfId="0" applyBorder="1" applyAlignment="1">
      <alignment vertical="center"/>
    </xf>
    <xf numFmtId="0" fontId="0" fillId="0" borderId="20" xfId="0" applyBorder="1" applyAlignment="1">
      <alignment vertical="center"/>
    </xf>
    <xf numFmtId="166" fontId="1" fillId="0" borderId="25" xfId="1" applyNumberFormat="1" applyFont="1" applyBorder="1" applyAlignment="1">
      <alignment vertical="center"/>
    </xf>
    <xf numFmtId="9" fontId="0" fillId="0" borderId="26" xfId="2" applyNumberFormat="1" applyFont="1" applyBorder="1" applyAlignment="1">
      <alignment vertical="center"/>
    </xf>
    <xf numFmtId="9" fontId="0" fillId="0" borderId="26" xfId="2" applyFont="1" applyBorder="1" applyAlignment="1">
      <alignment vertical="center"/>
    </xf>
    <xf numFmtId="0" fontId="1" fillId="0" borderId="23" xfId="0" applyFont="1" applyBorder="1" applyAlignment="1">
      <alignment vertical="center"/>
    </xf>
    <xf numFmtId="166" fontId="1" fillId="0" borderId="27" xfId="1" applyNumberFormat="1" applyFont="1" applyBorder="1" applyAlignment="1">
      <alignment vertical="center"/>
    </xf>
    <xf numFmtId="164" fontId="1" fillId="0" borderId="27" xfId="1" applyFont="1" applyBorder="1" applyAlignment="1">
      <alignment vertical="center"/>
    </xf>
    <xf numFmtId="166" fontId="1" fillId="0" borderId="8" xfId="1" applyNumberFormat="1" applyFont="1" applyBorder="1" applyAlignment="1">
      <alignment vertical="center"/>
    </xf>
    <xf numFmtId="0" fontId="12" fillId="0" borderId="56" xfId="0" quotePrefix="1" applyFont="1" applyFill="1" applyBorder="1" applyAlignment="1">
      <alignment horizontal="left" vertical="center" wrapText="1"/>
    </xf>
    <xf numFmtId="0" fontId="0" fillId="0" borderId="24" xfId="0" applyBorder="1" applyAlignment="1">
      <alignment vertical="center"/>
    </xf>
    <xf numFmtId="166" fontId="0" fillId="0" borderId="28" xfId="0" applyNumberFormat="1" applyBorder="1" applyAlignment="1">
      <alignment vertical="center"/>
    </xf>
    <xf numFmtId="0" fontId="12" fillId="0" borderId="23" xfId="0" applyFont="1" applyBorder="1"/>
    <xf numFmtId="166" fontId="5" fillId="0" borderId="27" xfId="1" applyNumberFormat="1" applyFont="1" applyBorder="1" applyAlignment="1">
      <alignment vertical="center"/>
    </xf>
    <xf numFmtId="0" fontId="0" fillId="0" borderId="23" xfId="0" applyFont="1" applyBorder="1" applyAlignment="1">
      <alignment vertical="center"/>
    </xf>
    <xf numFmtId="164" fontId="5" fillId="0" borderId="27" xfId="1" applyFont="1" applyBorder="1" applyAlignment="1">
      <alignment vertical="center"/>
    </xf>
    <xf numFmtId="166" fontId="5" fillId="0" borderId="8" xfId="1" applyNumberFormat="1" applyFont="1"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1" fillId="0" borderId="0" xfId="0" applyFont="1" applyFill="1" applyAlignment="1">
      <alignment horizontal="center"/>
    </xf>
    <xf numFmtId="0" fontId="0" fillId="0" borderId="0" xfId="0"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ill="1"/>
    <xf numFmtId="0" fontId="1" fillId="0" borderId="0" xfId="0" applyFont="1" applyFill="1" applyBorder="1" applyAlignment="1">
      <alignment horizontal="center"/>
    </xf>
    <xf numFmtId="0" fontId="1"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xf numFmtId="0" fontId="1" fillId="8" borderId="58" xfId="0" applyFont="1" applyFill="1" applyBorder="1"/>
    <xf numFmtId="0" fontId="1" fillId="0" borderId="59" xfId="0" applyFont="1" applyBorder="1" applyAlignment="1">
      <alignment horizontal="center" vertical="center"/>
    </xf>
    <xf numFmtId="166" fontId="0" fillId="0" borderId="14" xfId="1" applyNumberFormat="1" applyFont="1" applyFill="1" applyBorder="1"/>
    <xf numFmtId="166" fontId="0" fillId="0" borderId="18" xfId="1" applyNumberFormat="1" applyFont="1" applyFill="1" applyBorder="1"/>
    <xf numFmtId="166" fontId="0" fillId="0" borderId="0" xfId="1" applyNumberFormat="1" applyFont="1" applyFill="1" applyBorder="1"/>
    <xf numFmtId="166" fontId="1" fillId="8" borderId="58" xfId="1" applyNumberFormat="1" applyFont="1" applyFill="1" applyBorder="1"/>
    <xf numFmtId="0" fontId="0" fillId="0" borderId="60" xfId="0" applyFont="1" applyBorder="1" applyAlignment="1">
      <alignment horizontal="center" vertical="center"/>
    </xf>
    <xf numFmtId="0" fontId="0" fillId="3" borderId="19" xfId="0" applyFill="1" applyBorder="1"/>
    <xf numFmtId="166" fontId="0" fillId="0" borderId="14" xfId="1" applyNumberFormat="1" applyFont="1" applyBorder="1"/>
    <xf numFmtId="9" fontId="0" fillId="0" borderId="9" xfId="0" applyNumberFormat="1" applyBorder="1"/>
    <xf numFmtId="9" fontId="0" fillId="0" borderId="0" xfId="0" applyNumberFormat="1" applyFill="1" applyBorder="1"/>
    <xf numFmtId="166" fontId="0" fillId="0" borderId="15" xfId="1" applyNumberFormat="1" applyFont="1" applyBorder="1"/>
    <xf numFmtId="166" fontId="0" fillId="0" borderId="25" xfId="1" applyNumberFormat="1" applyFont="1" applyBorder="1"/>
    <xf numFmtId="9" fontId="0" fillId="0" borderId="26" xfId="0" applyNumberFormat="1" applyBorder="1"/>
    <xf numFmtId="0" fontId="0" fillId="0" borderId="0" xfId="0" applyFill="1" applyBorder="1" applyAlignment="1">
      <alignment horizontal="left" vertical="center"/>
    </xf>
    <xf numFmtId="0" fontId="0" fillId="0" borderId="0" xfId="0" applyFill="1" applyBorder="1" applyAlignment="1">
      <alignment horizontal="center"/>
    </xf>
    <xf numFmtId="0" fontId="0" fillId="0" borderId="0" xfId="0" applyFont="1" applyFill="1" applyBorder="1" applyAlignment="1">
      <alignment horizontal="left" wrapText="1"/>
    </xf>
    <xf numFmtId="0" fontId="0" fillId="0" borderId="0" xfId="0" applyFill="1" applyBorder="1" applyAlignment="1">
      <alignment horizontal="left" wrapText="1"/>
    </xf>
    <xf numFmtId="0" fontId="0" fillId="0" borderId="0" xfId="0" applyFill="1" applyAlignment="1">
      <alignment horizontal="left" vertical="center" wrapText="1"/>
    </xf>
    <xf numFmtId="41" fontId="0" fillId="0" borderId="47" xfId="0" applyNumberFormat="1" applyBorder="1"/>
    <xf numFmtId="41" fontId="0" fillId="0" borderId="14" xfId="0" applyNumberFormat="1" applyFill="1" applyBorder="1"/>
    <xf numFmtId="41" fontId="0" fillId="0" borderId="61" xfId="0" applyNumberFormat="1" applyBorder="1" applyAlignment="1"/>
    <xf numFmtId="41" fontId="0" fillId="0" borderId="62" xfId="0" applyNumberFormat="1" applyBorder="1" applyAlignment="1"/>
    <xf numFmtId="41" fontId="0" fillId="0" borderId="63" xfId="0" applyNumberFormat="1" applyBorder="1" applyAlignment="1"/>
    <xf numFmtId="41" fontId="0" fillId="0" borderId="64" xfId="0" applyNumberFormat="1" applyBorder="1" applyAlignment="1"/>
    <xf numFmtId="41" fontId="0" fillId="0" borderId="65" xfId="0" applyNumberFormat="1" applyBorder="1" applyAlignment="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41" fontId="0" fillId="0" borderId="21" xfId="0" applyNumberFormat="1" applyBorder="1"/>
    <xf numFmtId="41" fontId="0" fillId="0" borderId="15" xfId="0" applyNumberFormat="1" applyBorder="1"/>
    <xf numFmtId="9" fontId="0" fillId="0" borderId="21" xfId="2" applyFont="1" applyBorder="1"/>
    <xf numFmtId="167" fontId="0" fillId="0" borderId="25" xfId="3" applyNumberFormat="1" applyFont="1" applyFill="1" applyBorder="1"/>
    <xf numFmtId="0" fontId="0" fillId="0" borderId="18" xfId="0" applyFill="1" applyBorder="1"/>
    <xf numFmtId="167" fontId="0" fillId="0" borderId="18" xfId="3" applyNumberFormat="1" applyFont="1" applyFill="1" applyBorder="1"/>
    <xf numFmtId="167" fontId="0" fillId="0" borderId="0" xfId="3" applyNumberFormat="1" applyFont="1" applyFill="1"/>
    <xf numFmtId="167" fontId="0" fillId="0" borderId="71" xfId="3" applyNumberFormat="1" applyFont="1" applyBorder="1"/>
    <xf numFmtId="167" fontId="0" fillId="0" borderId="0" xfId="3" applyNumberFormat="1" applyFont="1"/>
    <xf numFmtId="9" fontId="0" fillId="0" borderId="26" xfId="0" applyNumberFormat="1" applyBorder="1" applyAlignment="1">
      <alignment horizontal="right"/>
    </xf>
    <xf numFmtId="0" fontId="0" fillId="9" borderId="23" xfId="0" applyFill="1" applyBorder="1"/>
    <xf numFmtId="0" fontId="0" fillId="9" borderId="27" xfId="0" applyFill="1" applyBorder="1"/>
    <xf numFmtId="0" fontId="0" fillId="9" borderId="8" xfId="0" applyFill="1" applyBorder="1"/>
    <xf numFmtId="0" fontId="0" fillId="9" borderId="24" xfId="0" applyFill="1" applyBorder="1"/>
    <xf numFmtId="0" fontId="0" fillId="9" borderId="28" xfId="0" applyFill="1" applyBorder="1"/>
    <xf numFmtId="0" fontId="0" fillId="9" borderId="29" xfId="0" applyFill="1" applyBorder="1"/>
    <xf numFmtId="0" fontId="12" fillId="0" borderId="0" xfId="0" applyFont="1"/>
    <xf numFmtId="0" fontId="12" fillId="0" borderId="0" xfId="0" applyFont="1" applyAlignment="1">
      <alignment horizontal="center"/>
    </xf>
    <xf numFmtId="0" fontId="15" fillId="2" borderId="17" xfId="0" applyFont="1" applyFill="1" applyBorder="1" applyAlignment="1">
      <alignment horizontal="right"/>
    </xf>
    <xf numFmtId="0" fontId="15" fillId="0" borderId="0" xfId="0" applyFont="1"/>
    <xf numFmtId="0" fontId="15" fillId="0" borderId="16" xfId="0" applyFont="1" applyBorder="1" applyAlignment="1">
      <alignment horizontal="center" vertical="center" wrapText="1"/>
    </xf>
    <xf numFmtId="0" fontId="15" fillId="0" borderId="4" xfId="0" applyFont="1" applyBorder="1" applyAlignment="1">
      <alignment horizontal="center" vertical="center" wrapText="1"/>
    </xf>
    <xf numFmtId="0" fontId="12" fillId="0" borderId="0" xfId="0" applyFont="1" applyAlignment="1">
      <alignment horizontal="center" vertical="center" wrapText="1"/>
    </xf>
    <xf numFmtId="0" fontId="12" fillId="3" borderId="13" xfId="0" applyFont="1" applyFill="1" applyBorder="1"/>
    <xf numFmtId="0" fontId="12" fillId="3" borderId="11" xfId="0" applyFont="1" applyFill="1" applyBorder="1"/>
    <xf numFmtId="0" fontId="12" fillId="3" borderId="10" xfId="0" applyFont="1" applyFill="1" applyBorder="1"/>
    <xf numFmtId="0" fontId="12" fillId="3" borderId="12" xfId="0" applyFont="1" applyFill="1" applyBorder="1"/>
    <xf numFmtId="0" fontId="15" fillId="0" borderId="22" xfId="0" applyFont="1" applyBorder="1" applyAlignment="1">
      <alignment horizontal="center" vertical="center"/>
    </xf>
    <xf numFmtId="0" fontId="15" fillId="0" borderId="36" xfId="0" applyFont="1" applyBorder="1" applyAlignment="1">
      <alignment vertical="center" wrapText="1"/>
    </xf>
    <xf numFmtId="0" fontId="12" fillId="0" borderId="20" xfId="0" applyFont="1" applyBorder="1" applyAlignment="1">
      <alignment horizontal="center" vertical="center"/>
    </xf>
    <xf numFmtId="0" fontId="18" fillId="0" borderId="35" xfId="0" applyFont="1" applyBorder="1" applyAlignment="1">
      <alignment vertical="center" wrapText="1"/>
    </xf>
    <xf numFmtId="168" fontId="12" fillId="0" borderId="19" xfId="2" applyNumberFormat="1" applyFont="1" applyBorder="1" applyAlignment="1">
      <alignment vertical="center"/>
    </xf>
    <xf numFmtId="168" fontId="12" fillId="3" borderId="9" xfId="0" applyNumberFormat="1" applyFont="1" applyFill="1" applyBorder="1"/>
    <xf numFmtId="0" fontId="15" fillId="0" borderId="0" xfId="0" applyFont="1" applyAlignment="1">
      <alignment horizontal="center" vertical="center"/>
    </xf>
    <xf numFmtId="0" fontId="12" fillId="0" borderId="0" xfId="0" applyFont="1" applyAlignment="1">
      <alignment vertical="center" wrapText="1"/>
    </xf>
    <xf numFmtId="0" fontId="12" fillId="0" borderId="0" xfId="0" quotePrefix="1" applyFont="1" applyAlignment="1">
      <alignment vertical="top" wrapText="1"/>
    </xf>
    <xf numFmtId="0" fontId="12" fillId="0" borderId="0" xfId="0" applyFont="1" applyAlignment="1">
      <alignment vertical="center"/>
    </xf>
    <xf numFmtId="41" fontId="12" fillId="0" borderId="0" xfId="0" applyNumberFormat="1" applyFont="1"/>
    <xf numFmtId="0" fontId="12" fillId="0" borderId="22" xfId="0" applyFont="1" applyBorder="1" applyAlignment="1">
      <alignment horizontal="center" vertical="center"/>
    </xf>
    <xf numFmtId="0" fontId="18" fillId="0" borderId="36" xfId="0" applyFont="1" applyBorder="1" applyAlignment="1">
      <alignment vertical="center" wrapText="1"/>
    </xf>
    <xf numFmtId="0" fontId="12" fillId="0" borderId="22" xfId="0" applyFont="1" applyFill="1" applyBorder="1" applyAlignment="1">
      <alignment horizontal="center" vertical="center"/>
    </xf>
    <xf numFmtId="0" fontId="12" fillId="0" borderId="20" xfId="0" applyFont="1" applyFill="1" applyBorder="1" applyAlignment="1">
      <alignment horizontal="center" vertical="center"/>
    </xf>
    <xf numFmtId="0" fontId="15" fillId="0" borderId="36" xfId="0" applyFont="1" applyFill="1" applyBorder="1" applyAlignment="1">
      <alignment vertical="center" wrapText="1"/>
    </xf>
    <xf numFmtId="0" fontId="12" fillId="0" borderId="0" xfId="0" applyFont="1" applyAlignment="1">
      <alignment vertical="top" wrapText="1"/>
    </xf>
    <xf numFmtId="0" fontId="15" fillId="0" borderId="41" xfId="0" applyFont="1" applyFill="1" applyBorder="1" applyAlignment="1">
      <alignment vertical="center" wrapText="1"/>
    </xf>
    <xf numFmtId="41" fontId="12" fillId="0" borderId="23" xfId="0" applyNumberFormat="1" applyFont="1" applyBorder="1" applyAlignment="1">
      <alignment vertical="center"/>
    </xf>
    <xf numFmtId="41" fontId="12" fillId="0" borderId="27" xfId="0" applyNumberFormat="1" applyFont="1" applyBorder="1" applyAlignment="1">
      <alignment vertical="center"/>
    </xf>
    <xf numFmtId="41" fontId="12" fillId="0" borderId="8" xfId="0" applyNumberFormat="1" applyFont="1" applyBorder="1" applyAlignment="1">
      <alignment vertical="center"/>
    </xf>
    <xf numFmtId="0" fontId="18" fillId="0" borderId="42" xfId="0" applyFont="1" applyBorder="1" applyAlignment="1">
      <alignment vertical="center" wrapText="1"/>
    </xf>
    <xf numFmtId="0" fontId="18" fillId="0" borderId="35" xfId="0" applyFont="1" applyBorder="1" applyAlignment="1">
      <alignment vertical="top" wrapText="1"/>
    </xf>
    <xf numFmtId="0" fontId="15" fillId="0" borderId="41" xfId="0" applyFont="1" applyBorder="1" applyAlignment="1">
      <alignment vertical="center" wrapText="1"/>
    </xf>
    <xf numFmtId="0" fontId="18" fillId="0" borderId="43" xfId="0" applyFont="1" applyFill="1" applyBorder="1" applyAlignment="1">
      <alignment vertical="top" wrapText="1"/>
    </xf>
    <xf numFmtId="0" fontId="15" fillId="0" borderId="44" xfId="0" applyFont="1" applyBorder="1" applyAlignment="1">
      <alignment horizontal="center" vertical="center"/>
    </xf>
    <xf numFmtId="0" fontId="15" fillId="0" borderId="34" xfId="0" applyFont="1" applyBorder="1" applyAlignment="1">
      <alignment vertical="center" wrapText="1"/>
    </xf>
    <xf numFmtId="0" fontId="15" fillId="0" borderId="40" xfId="0" applyFont="1" applyBorder="1" applyAlignment="1">
      <alignment horizontal="center" vertical="center"/>
    </xf>
    <xf numFmtId="0" fontId="15" fillId="0" borderId="38" xfId="0" applyFont="1" applyBorder="1" applyAlignment="1">
      <alignment vertical="center" wrapText="1"/>
    </xf>
    <xf numFmtId="0" fontId="15" fillId="0" borderId="0" xfId="0" applyFont="1" applyBorder="1" applyAlignment="1">
      <alignment horizontal="center" vertical="center"/>
    </xf>
    <xf numFmtId="0" fontId="12" fillId="0" borderId="0" xfId="0" applyFont="1" applyBorder="1"/>
    <xf numFmtId="10" fontId="0" fillId="0" borderId="0" xfId="0" applyNumberFormat="1"/>
    <xf numFmtId="166" fontId="0" fillId="0" borderId="0" xfId="0" applyNumberFormat="1"/>
    <xf numFmtId="0" fontId="7" fillId="0" borderId="0" xfId="0" applyFont="1" applyBorder="1" applyAlignment="1">
      <alignment horizontal="center" vertical="center"/>
    </xf>
    <xf numFmtId="0" fontId="19" fillId="0" borderId="0" xfId="0" applyFont="1" applyBorder="1" applyAlignment="1">
      <alignment vertical="center" wrapText="1"/>
    </xf>
    <xf numFmtId="9" fontId="7" fillId="0" borderId="0" xfId="0" applyNumberFormat="1" applyFont="1" applyBorder="1"/>
    <xf numFmtId="0" fontId="0" fillId="3" borderId="0" xfId="0" applyFill="1" applyBorder="1"/>
    <xf numFmtId="10" fontId="0" fillId="0" borderId="9" xfId="0" applyNumberFormat="1" applyBorder="1"/>
    <xf numFmtId="164" fontId="0" fillId="0" borderId="0" xfId="0" applyNumberFormat="1"/>
    <xf numFmtId="166" fontId="0" fillId="4" borderId="24" xfId="1" applyNumberFormat="1" applyFont="1" applyFill="1" applyBorder="1"/>
    <xf numFmtId="0" fontId="0" fillId="4" borderId="28" xfId="0" applyFill="1" applyBorder="1"/>
    <xf numFmtId="0" fontId="0" fillId="4" borderId="29" xfId="0" applyFill="1" applyBorder="1"/>
    <xf numFmtId="3" fontId="0" fillId="0" borderId="14" xfId="0" applyNumberFormat="1" applyFill="1" applyBorder="1"/>
    <xf numFmtId="3" fontId="0" fillId="0" borderId="47" xfId="0" applyNumberFormat="1" applyBorder="1"/>
    <xf numFmtId="168" fontId="0" fillId="0" borderId="19" xfId="2" applyNumberFormat="1" applyFont="1" applyBorder="1"/>
    <xf numFmtId="3" fontId="0" fillId="3" borderId="9" xfId="0" applyNumberFormat="1" applyFill="1" applyBorder="1"/>
    <xf numFmtId="0" fontId="1" fillId="0" borderId="0" xfId="0" applyFont="1" applyAlignment="1">
      <alignment vertical="center" wrapText="1"/>
    </xf>
    <xf numFmtId="3" fontId="0" fillId="0" borderId="0" xfId="0" applyNumberFormat="1"/>
    <xf numFmtId="0" fontId="20" fillId="0" borderId="0" xfId="0" applyFont="1" applyAlignment="1">
      <alignment horizontal="right"/>
    </xf>
    <xf numFmtId="0" fontId="20" fillId="0" borderId="0" xfId="0" applyFont="1"/>
    <xf numFmtId="165" fontId="20" fillId="0" borderId="0" xfId="0" applyNumberFormat="1" applyFont="1"/>
    <xf numFmtId="3" fontId="0" fillId="0" borderId="19" xfId="0" applyNumberFormat="1" applyBorder="1"/>
    <xf numFmtId="3" fontId="0" fillId="0" borderId="20" xfId="0" applyNumberFormat="1" applyBorder="1"/>
    <xf numFmtId="0" fontId="21" fillId="0" borderId="0" xfId="0" applyFont="1" applyAlignment="1">
      <alignment horizontal="center" vertical="center"/>
    </xf>
    <xf numFmtId="0" fontId="21" fillId="0" borderId="0" xfId="0" applyFont="1" applyAlignment="1">
      <alignment vertical="center" wrapText="1"/>
    </xf>
    <xf numFmtId="3" fontId="20" fillId="0" borderId="0" xfId="0" applyNumberFormat="1" applyFont="1"/>
    <xf numFmtId="0" fontId="1" fillId="0" borderId="79" xfId="0" applyFont="1" applyBorder="1"/>
    <xf numFmtId="0" fontId="0" fillId="0" borderId="80" xfId="0" applyBorder="1" applyAlignment="1">
      <alignment horizontal="center" vertical="center" wrapText="1"/>
    </xf>
    <xf numFmtId="0" fontId="0" fillId="0" borderId="81" xfId="0" applyBorder="1"/>
    <xf numFmtId="43" fontId="0" fillId="0" borderId="18" xfId="3" applyFont="1" applyBorder="1"/>
    <xf numFmtId="43" fontId="0" fillId="0" borderId="14" xfId="3" applyFont="1" applyFill="1" applyBorder="1"/>
    <xf numFmtId="43" fontId="0" fillId="0" borderId="47" xfId="3" applyFont="1" applyBorder="1"/>
    <xf numFmtId="43" fontId="0" fillId="0" borderId="82" xfId="3" applyFont="1" applyFill="1" applyBorder="1"/>
    <xf numFmtId="0" fontId="0" fillId="0" borderId="83" xfId="0" applyBorder="1"/>
    <xf numFmtId="9" fontId="0" fillId="3" borderId="9" xfId="2" applyFont="1" applyFill="1" applyBorder="1"/>
    <xf numFmtId="0" fontId="0" fillId="3" borderId="72" xfId="0" applyFill="1" applyBorder="1"/>
    <xf numFmtId="0" fontId="0" fillId="0" borderId="60" xfId="0" applyBorder="1"/>
    <xf numFmtId="43" fontId="0" fillId="0" borderId="14" xfId="3" applyFont="1" applyBorder="1"/>
    <xf numFmtId="43" fontId="0" fillId="0" borderId="82" xfId="3" applyFont="1" applyBorder="1"/>
    <xf numFmtId="0" fontId="0" fillId="0" borderId="83" xfId="0" applyBorder="1" applyAlignment="1">
      <alignment wrapText="1"/>
    </xf>
    <xf numFmtId="10" fontId="0" fillId="0" borderId="19" xfId="3" applyNumberFormat="1" applyFont="1" applyBorder="1"/>
    <xf numFmtId="10" fontId="0" fillId="0" borderId="9" xfId="3" applyNumberFormat="1" applyFont="1" applyBorder="1"/>
    <xf numFmtId="10" fontId="0" fillId="0" borderId="20" xfId="3" applyNumberFormat="1" applyFont="1" applyBorder="1"/>
    <xf numFmtId="43" fontId="0" fillId="0" borderId="72" xfId="3" applyFont="1" applyBorder="1"/>
    <xf numFmtId="43" fontId="0" fillId="0" borderId="21" xfId="3" applyFont="1" applyBorder="1"/>
    <xf numFmtId="43" fontId="0" fillId="0" borderId="15" xfId="3" applyFont="1" applyBorder="1"/>
    <xf numFmtId="43" fontId="0" fillId="0" borderId="22" xfId="3" applyFont="1" applyBorder="1"/>
    <xf numFmtId="43" fontId="0" fillId="0" borderId="84" xfId="3" applyFont="1" applyBorder="1"/>
    <xf numFmtId="10" fontId="0" fillId="0" borderId="22" xfId="2" applyNumberFormat="1" applyFont="1" applyBorder="1"/>
    <xf numFmtId="0" fontId="0" fillId="0" borderId="83" xfId="0" applyBorder="1" applyAlignment="1"/>
    <xf numFmtId="0" fontId="0" fillId="0" borderId="84" xfId="0" applyBorder="1"/>
    <xf numFmtId="0" fontId="0" fillId="0" borderId="72" xfId="0" applyBorder="1"/>
    <xf numFmtId="43" fontId="0" fillId="0" borderId="25" xfId="3" applyFont="1" applyBorder="1"/>
    <xf numFmtId="0" fontId="0" fillId="0" borderId="82" xfId="0" applyBorder="1"/>
    <xf numFmtId="168" fontId="0" fillId="0" borderId="26" xfId="2" applyNumberFormat="1" applyFont="1" applyBorder="1"/>
    <xf numFmtId="0" fontId="0" fillId="0" borderId="85" xfId="0" applyBorder="1"/>
    <xf numFmtId="43" fontId="0" fillId="0" borderId="30" xfId="3" applyFont="1" applyBorder="1"/>
    <xf numFmtId="0" fontId="0" fillId="0" borderId="86" xfId="0" applyBorder="1"/>
    <xf numFmtId="164" fontId="0" fillId="0" borderId="18" xfId="1" applyFont="1" applyBorder="1"/>
    <xf numFmtId="164" fontId="0" fillId="0" borderId="14" xfId="1" applyFont="1" applyFill="1" applyBorder="1"/>
    <xf numFmtId="164" fontId="0" fillId="0" borderId="47" xfId="1" applyFont="1" applyBorder="1"/>
    <xf numFmtId="164" fontId="0" fillId="0" borderId="14" xfId="1" applyFont="1" applyBorder="1"/>
    <xf numFmtId="9" fontId="0" fillId="0" borderId="9" xfId="2" applyFont="1" applyBorder="1"/>
    <xf numFmtId="164" fontId="0" fillId="0" borderId="21" xfId="1" applyFont="1" applyBorder="1"/>
    <xf numFmtId="164" fontId="0" fillId="0" borderId="15" xfId="1" applyFont="1" applyBorder="1"/>
    <xf numFmtId="164" fontId="0" fillId="0" borderId="22" xfId="1" applyFont="1" applyBorder="1"/>
    <xf numFmtId="9" fontId="0" fillId="0" borderId="15" xfId="2" applyFont="1" applyBorder="1"/>
    <xf numFmtId="9" fontId="0" fillId="0" borderId="22" xfId="2" applyFont="1" applyBorder="1"/>
    <xf numFmtId="164" fontId="0" fillId="0" borderId="19" xfId="1" applyFont="1" applyBorder="1"/>
    <xf numFmtId="164" fontId="0" fillId="0" borderId="23" xfId="1" applyFont="1" applyBorder="1"/>
    <xf numFmtId="164" fontId="0" fillId="0" borderId="24" xfId="1" applyFont="1" applyBorder="1"/>
    <xf numFmtId="0" fontId="8" fillId="0" borderId="0" xfId="0" applyFont="1"/>
    <xf numFmtId="0" fontId="8" fillId="0" borderId="0" xfId="0" applyFont="1" applyAlignment="1">
      <alignment wrapText="1"/>
    </xf>
    <xf numFmtId="0" fontId="8" fillId="0" borderId="0" xfId="0" applyFont="1" applyAlignment="1">
      <alignment vertical="center"/>
    </xf>
    <xf numFmtId="169" fontId="0" fillId="0" borderId="18" xfId="0" applyNumberFormat="1" applyBorder="1"/>
    <xf numFmtId="0" fontId="0" fillId="0" borderId="14" xfId="0" applyFill="1" applyBorder="1" applyAlignment="1">
      <alignment horizontal="center" vertical="center"/>
    </xf>
    <xf numFmtId="169" fontId="0" fillId="0" borderId="47" xfId="0" applyNumberFormat="1" applyBorder="1"/>
    <xf numFmtId="168" fontId="0" fillId="0" borderId="19" xfId="0" applyNumberFormat="1" applyBorder="1"/>
    <xf numFmtId="168" fontId="0" fillId="0" borderId="20" xfId="0" applyNumberFormat="1" applyBorder="1"/>
    <xf numFmtId="170" fontId="0" fillId="0" borderId="47" xfId="0" applyNumberFormat="1" applyBorder="1"/>
    <xf numFmtId="0" fontId="0" fillId="0" borderId="20" xfId="0" quotePrefix="1" applyBorder="1" applyAlignment="1">
      <alignment wrapText="1"/>
    </xf>
    <xf numFmtId="170" fontId="0" fillId="0" borderId="22" xfId="0" applyNumberFormat="1" applyBorder="1"/>
    <xf numFmtId="169" fontId="0" fillId="0" borderId="22" xfId="0" applyNumberFormat="1" applyBorder="1"/>
    <xf numFmtId="4" fontId="0" fillId="0" borderId="22" xfId="0" applyNumberFormat="1" applyBorder="1"/>
    <xf numFmtId="3" fontId="0" fillId="0" borderId="22" xfId="0" applyNumberFormat="1" applyBorder="1"/>
    <xf numFmtId="170" fontId="0" fillId="0" borderId="18" xfId="0" applyNumberFormat="1" applyBorder="1"/>
    <xf numFmtId="0" fontId="8" fillId="0" borderId="0" xfId="0" quotePrefix="1" applyFont="1" applyAlignment="1">
      <alignment horizontal="right" vertical="center"/>
    </xf>
    <xf numFmtId="0" fontId="7" fillId="0" borderId="0" xfId="0" applyFont="1" applyAlignment="1">
      <alignment vertical="center" wrapText="1"/>
    </xf>
    <xf numFmtId="0" fontId="7" fillId="0" borderId="0" xfId="0" applyFont="1" applyAlignment="1">
      <alignment wrapText="1"/>
    </xf>
    <xf numFmtId="15" fontId="0" fillId="0" borderId="0" xfId="0" applyNumberFormat="1"/>
    <xf numFmtId="167" fontId="0" fillId="0" borderId="18" xfId="3" applyNumberFormat="1" applyFont="1" applyBorder="1"/>
    <xf numFmtId="167" fontId="0" fillId="0" borderId="47" xfId="3" applyNumberFormat="1" applyFont="1" applyBorder="1"/>
    <xf numFmtId="4" fontId="0" fillId="0" borderId="0" xfId="0" applyNumberFormat="1"/>
    <xf numFmtId="9" fontId="0" fillId="8" borderId="0" xfId="2" applyFont="1" applyFill="1"/>
    <xf numFmtId="0" fontId="0" fillId="8" borderId="0" xfId="0" applyFill="1"/>
    <xf numFmtId="0" fontId="25" fillId="8" borderId="0" xfId="5" applyFont="1" applyFill="1"/>
    <xf numFmtId="0" fontId="0" fillId="0" borderId="0" xfId="0" applyAlignment="1">
      <alignment horizontal="right"/>
    </xf>
    <xf numFmtId="0" fontId="25" fillId="0" borderId="0" xfId="5" applyFont="1" applyFill="1"/>
    <xf numFmtId="167" fontId="0" fillId="8" borderId="0" xfId="3" applyNumberFormat="1" applyFont="1" applyFill="1"/>
    <xf numFmtId="0" fontId="0" fillId="8" borderId="0" xfId="0" applyFill="1" applyAlignment="1">
      <alignment horizontal="right"/>
    </xf>
    <xf numFmtId="0" fontId="25" fillId="0" borderId="0" xfId="5" applyFont="1"/>
    <xf numFmtId="0" fontId="25" fillId="0" borderId="0" xfId="5" applyFont="1" applyAlignment="1">
      <alignment horizontal="right"/>
    </xf>
    <xf numFmtId="4" fontId="25" fillId="0" borderId="0" xfId="5" applyNumberFormat="1" applyFont="1" applyAlignment="1">
      <alignment horizontal="right"/>
    </xf>
    <xf numFmtId="0" fontId="25" fillId="0" borderId="0" xfId="5" applyFont="1" applyBorder="1" applyAlignment="1">
      <alignment horizontal="right"/>
    </xf>
    <xf numFmtId="0" fontId="25" fillId="0" borderId="0" xfId="5" applyFont="1" applyBorder="1"/>
    <xf numFmtId="4" fontId="25" fillId="0" borderId="89" xfId="5" applyNumberFormat="1" applyFont="1" applyBorder="1" applyAlignment="1">
      <alignment horizontal="right"/>
    </xf>
    <xf numFmtId="0" fontId="25" fillId="0" borderId="13" xfId="5" applyFont="1" applyBorder="1" applyAlignment="1">
      <alignment horizontal="right"/>
    </xf>
    <xf numFmtId="0" fontId="25" fillId="0" borderId="13" xfId="5" applyFont="1" applyBorder="1"/>
    <xf numFmtId="14" fontId="0" fillId="0" borderId="0" xfId="0" applyNumberFormat="1"/>
    <xf numFmtId="4" fontId="25" fillId="0" borderId="0" xfId="5" applyNumberFormat="1" applyFont="1" applyBorder="1" applyAlignment="1">
      <alignment horizontal="right"/>
    </xf>
    <xf numFmtId="0" fontId="25" fillId="0" borderId="0" xfId="5" applyFont="1" applyBorder="1" applyAlignment="1">
      <alignment horizontal="center"/>
    </xf>
    <xf numFmtId="0" fontId="26" fillId="0" borderId="0" xfId="5" applyFont="1"/>
    <xf numFmtId="0" fontId="25" fillId="0" borderId="0" xfId="5" applyFont="1" applyAlignment="1">
      <alignment horizontal="center"/>
    </xf>
    <xf numFmtId="0" fontId="1" fillId="0" borderId="0" xfId="0" applyFont="1"/>
    <xf numFmtId="0" fontId="27" fillId="10" borderId="0" xfId="5" applyNumberFormat="1" applyFont="1" applyFill="1" applyAlignment="1">
      <alignment horizontal="right" vertical="center" wrapText="1"/>
    </xf>
    <xf numFmtId="49" fontId="27" fillId="10" borderId="0" xfId="5" applyNumberFormat="1" applyFont="1" applyFill="1" applyAlignment="1">
      <alignment horizontal="right" vertical="center" wrapText="1"/>
    </xf>
    <xf numFmtId="0" fontId="28" fillId="10" borderId="0" xfId="5" applyFont="1" applyFill="1" applyAlignment="1">
      <alignment vertical="center"/>
    </xf>
    <xf numFmtId="0" fontId="29" fillId="10" borderId="0" xfId="5" applyFont="1" applyFill="1" applyAlignment="1">
      <alignment vertical="center"/>
    </xf>
    <xf numFmtId="0" fontId="1" fillId="0" borderId="40" xfId="0" applyFont="1" applyBorder="1" applyAlignment="1">
      <alignment horizontal="center" vertical="center"/>
    </xf>
    <xf numFmtId="0" fontId="0" fillId="0" borderId="0" xfId="0" applyAlignment="1">
      <alignment vertical="center" wrapText="1"/>
    </xf>
    <xf numFmtId="0" fontId="1" fillId="0" borderId="40" xfId="0" applyFont="1" applyBorder="1" applyAlignment="1">
      <alignment horizontal="center" vertical="center"/>
    </xf>
    <xf numFmtId="0" fontId="0" fillId="0" borderId="0" xfId="0" applyAlignment="1">
      <alignment vertical="center" wrapText="1"/>
    </xf>
    <xf numFmtId="0" fontId="0" fillId="0" borderId="0" xfId="0" applyAlignment="1">
      <alignment horizontal="left"/>
    </xf>
    <xf numFmtId="38" fontId="0" fillId="0" borderId="18" xfId="3" applyNumberFormat="1" applyFont="1" applyBorder="1"/>
    <xf numFmtId="38" fontId="0" fillId="0" borderId="82" xfId="3" applyNumberFormat="1" applyFont="1" applyBorder="1"/>
    <xf numFmtId="38" fontId="0" fillId="0" borderId="90" xfId="0" applyNumberFormat="1" applyBorder="1"/>
    <xf numFmtId="38" fontId="0" fillId="0" borderId="14" xfId="0" applyNumberFormat="1" applyFill="1" applyBorder="1"/>
    <xf numFmtId="38" fontId="0" fillId="0" borderId="47" xfId="0" applyNumberFormat="1" applyBorder="1"/>
    <xf numFmtId="38" fontId="0" fillId="0" borderId="0" xfId="0" applyNumberFormat="1"/>
    <xf numFmtId="38" fontId="0" fillId="3" borderId="72" xfId="0" applyNumberFormat="1" applyFill="1" applyBorder="1"/>
    <xf numFmtId="9" fontId="0" fillId="0" borderId="60" xfId="2" applyFont="1" applyBorder="1"/>
    <xf numFmtId="38" fontId="0" fillId="3" borderId="9" xfId="0" applyNumberFormat="1" applyFill="1" applyBorder="1"/>
    <xf numFmtId="0" fontId="0" fillId="0" borderId="18" xfId="0" applyBorder="1" applyAlignment="1">
      <alignment horizontal="center"/>
    </xf>
    <xf numFmtId="0" fontId="0" fillId="0" borderId="82" xfId="0" applyBorder="1" applyAlignment="1">
      <alignment horizontal="center"/>
    </xf>
    <xf numFmtId="0" fontId="0" fillId="0" borderId="90" xfId="0" applyBorder="1" applyAlignment="1">
      <alignment horizontal="center"/>
    </xf>
    <xf numFmtId="0" fontId="0" fillId="0" borderId="14" xfId="0" applyBorder="1" applyAlignment="1">
      <alignment horizontal="center"/>
    </xf>
    <xf numFmtId="0" fontId="0" fillId="0" borderId="47" xfId="0" applyBorder="1" applyAlignment="1">
      <alignment horizontal="center"/>
    </xf>
    <xf numFmtId="0" fontId="0" fillId="0" borderId="21" xfId="0" applyBorder="1" applyAlignment="1">
      <alignment horizontal="center"/>
    </xf>
    <xf numFmtId="0" fontId="0" fillId="0" borderId="84" xfId="0" applyBorder="1" applyAlignment="1">
      <alignment horizontal="center"/>
    </xf>
    <xf numFmtId="0" fontId="0" fillId="0" borderId="91" xfId="0" applyBorder="1" applyAlignment="1">
      <alignment horizontal="center"/>
    </xf>
    <xf numFmtId="0" fontId="0" fillId="0" borderId="28" xfId="0" applyBorder="1" applyAlignment="1">
      <alignment horizontal="center"/>
    </xf>
    <xf numFmtId="0" fontId="0" fillId="0" borderId="15" xfId="0" applyBorder="1" applyAlignment="1">
      <alignment horizontal="center"/>
    </xf>
    <xf numFmtId="0" fontId="0" fillId="0" borderId="92" xfId="0" applyBorder="1"/>
    <xf numFmtId="0" fontId="0" fillId="0" borderId="23" xfId="0" applyBorder="1" applyAlignment="1">
      <alignment horizontal="center"/>
    </xf>
    <xf numFmtId="0" fontId="30" fillId="0" borderId="0" xfId="0" applyFont="1"/>
    <xf numFmtId="9" fontId="0" fillId="0" borderId="50" xfId="2" applyFont="1" applyBorder="1"/>
    <xf numFmtId="171" fontId="0" fillId="0" borderId="30" xfId="0" applyNumberFormat="1" applyBorder="1"/>
    <xf numFmtId="166" fontId="0" fillId="0" borderId="20" xfId="1" applyNumberFormat="1" applyFont="1" applyBorder="1" applyAlignment="1">
      <alignment horizontal="center" vertical="center"/>
    </xf>
    <xf numFmtId="166" fontId="0" fillId="3" borderId="9" xfId="1" applyNumberFormat="1" applyFont="1" applyFill="1" applyBorder="1" applyAlignment="1">
      <alignment horizontal="center" vertical="center"/>
    </xf>
    <xf numFmtId="166" fontId="0" fillId="3" borderId="9" xfId="1" applyNumberFormat="1" applyFont="1" applyFill="1" applyBorder="1"/>
    <xf numFmtId="166" fontId="0" fillId="0" borderId="18" xfId="1" applyNumberFormat="1" applyFont="1" applyBorder="1" applyAlignment="1">
      <alignment horizontal="center" vertical="center"/>
    </xf>
    <xf numFmtId="166" fontId="0" fillId="0" borderId="14" xfId="1" applyNumberFormat="1" applyFont="1" applyFill="1" applyBorder="1" applyAlignment="1">
      <alignment horizontal="center" vertical="center"/>
    </xf>
    <xf numFmtId="166" fontId="0" fillId="0" borderId="47" xfId="1" applyNumberFormat="1" applyFont="1" applyBorder="1" applyAlignment="1">
      <alignment horizontal="center" vertical="center"/>
    </xf>
    <xf numFmtId="0" fontId="0" fillId="0" borderId="20" xfId="0" applyBorder="1" applyAlignment="1">
      <alignment horizontal="center" vertical="center"/>
    </xf>
    <xf numFmtId="0" fontId="0" fillId="3" borderId="9" xfId="0" applyFill="1" applyBorder="1" applyAlignment="1">
      <alignment horizontal="center" vertical="center"/>
    </xf>
    <xf numFmtId="166" fontId="0" fillId="0" borderId="14" xfId="1" applyNumberFormat="1" applyFont="1" applyFill="1" applyBorder="1" applyAlignment="1">
      <alignment vertical="center"/>
    </xf>
    <xf numFmtId="166" fontId="0" fillId="0" borderId="47" xfId="1" applyNumberFormat="1" applyFont="1" applyBorder="1" applyAlignment="1">
      <alignment vertical="center"/>
    </xf>
    <xf numFmtId="0" fontId="2" fillId="0" borderId="0" xfId="0" applyFont="1"/>
    <xf numFmtId="2" fontId="0" fillId="0" borderId="11" xfId="3" applyNumberFormat="1" applyFont="1" applyBorder="1" applyAlignment="1"/>
    <xf numFmtId="2" fontId="0" fillId="0" borderId="13" xfId="3" applyNumberFormat="1" applyFont="1" applyBorder="1" applyAlignment="1"/>
    <xf numFmtId="2" fontId="0" fillId="0" borderId="11" xfId="3" applyNumberFormat="1" applyFont="1" applyBorder="1" applyAlignment="1">
      <alignment vertical="center"/>
    </xf>
    <xf numFmtId="2" fontId="0" fillId="0" borderId="13" xfId="3" applyNumberFormat="1" applyFont="1" applyBorder="1" applyAlignment="1">
      <alignment vertical="center"/>
    </xf>
    <xf numFmtId="0" fontId="0" fillId="0" borderId="26" xfId="0" applyBorder="1" applyAlignment="1">
      <alignment horizontal="right" vertical="center"/>
    </xf>
    <xf numFmtId="0" fontId="0" fillId="0" borderId="19" xfId="0" applyBorder="1" applyAlignment="1">
      <alignment horizontal="right" vertical="center"/>
    </xf>
    <xf numFmtId="0" fontId="0" fillId="0" borderId="25" xfId="0" applyBorder="1" applyAlignment="1">
      <alignment horizontal="right" vertical="center"/>
    </xf>
    <xf numFmtId="0" fontId="0" fillId="0" borderId="18" xfId="0" applyBorder="1" applyAlignment="1">
      <alignment horizontal="right" vertical="center"/>
    </xf>
    <xf numFmtId="0" fontId="0" fillId="0" borderId="9" xfId="0" applyBorder="1" applyAlignment="1">
      <alignment horizontal="right" vertical="center"/>
    </xf>
    <xf numFmtId="0" fontId="0" fillId="0" borderId="20" xfId="0" applyBorder="1" applyAlignment="1">
      <alignment horizontal="right" vertical="center"/>
    </xf>
    <xf numFmtId="0" fontId="0" fillId="0" borderId="15" xfId="0" applyBorder="1" applyAlignment="1">
      <alignment horizontal="right" vertical="center"/>
    </xf>
    <xf numFmtId="0" fontId="0" fillId="0" borderId="22" xfId="0" applyBorder="1" applyAlignment="1">
      <alignment horizontal="right" vertical="center"/>
    </xf>
    <xf numFmtId="43" fontId="0" fillId="0" borderId="15" xfId="0" applyNumberFormat="1" applyBorder="1"/>
    <xf numFmtId="0" fontId="0" fillId="0" borderId="15" xfId="0" applyBorder="1" applyAlignment="1">
      <alignment horizontal="right"/>
    </xf>
    <xf numFmtId="0" fontId="0" fillId="0" borderId="22" xfId="0" applyBorder="1" applyAlignment="1">
      <alignment horizontal="right"/>
    </xf>
    <xf numFmtId="43" fontId="0" fillId="0" borderId="14" xfId="3" applyFont="1" applyBorder="1" applyAlignment="1">
      <alignment vertical="center"/>
    </xf>
    <xf numFmtId="0" fontId="0" fillId="0" borderId="47" xfId="0" applyBorder="1" applyAlignment="1">
      <alignment vertical="center"/>
    </xf>
    <xf numFmtId="0" fontId="0" fillId="0" borderId="14" xfId="0" applyBorder="1" applyAlignment="1">
      <alignment horizontal="right" vertical="center"/>
    </xf>
    <xf numFmtId="3" fontId="0" fillId="0" borderId="14" xfId="3" applyNumberFormat="1" applyFont="1" applyFill="1" applyBorder="1" applyAlignment="1">
      <alignment vertical="center"/>
    </xf>
    <xf numFmtId="3" fontId="0" fillId="0" borderId="47" xfId="0" applyNumberFormat="1" applyBorder="1" applyAlignment="1">
      <alignment vertical="center"/>
    </xf>
    <xf numFmtId="3" fontId="0" fillId="0" borderId="14" xfId="0" applyNumberFormat="1" applyFill="1" applyBorder="1" applyAlignment="1">
      <alignment vertical="center"/>
    </xf>
    <xf numFmtId="3" fontId="0" fillId="0" borderId="18" xfId="0" applyNumberFormat="1" applyBorder="1" applyAlignment="1">
      <alignment vertical="center"/>
    </xf>
    <xf numFmtId="3" fontId="0" fillId="0" borderId="0" xfId="0" applyNumberFormat="1" applyFill="1" applyBorder="1"/>
    <xf numFmtId="3" fontId="0" fillId="0" borderId="13" xfId="0" applyNumberFormat="1" applyBorder="1"/>
    <xf numFmtId="3" fontId="2" fillId="0" borderId="0" xfId="0" applyNumberFormat="1" applyFont="1"/>
    <xf numFmtId="0" fontId="3" fillId="0" borderId="0" xfId="0" applyFont="1"/>
    <xf numFmtId="0" fontId="1" fillId="0" borderId="40" xfId="0" applyFont="1" applyBorder="1" applyAlignment="1">
      <alignment horizontal="center" vertical="center"/>
    </xf>
    <xf numFmtId="0" fontId="0" fillId="0" borderId="0" xfId="0" applyAlignment="1">
      <alignment vertical="center" wrapText="1"/>
    </xf>
    <xf numFmtId="173" fontId="0" fillId="0" borderId="18" xfId="6" applyNumberFormat="1" applyFont="1" applyBorder="1"/>
    <xf numFmtId="9" fontId="0" fillId="0" borderId="19" xfId="2" applyFont="1" applyFill="1" applyBorder="1"/>
    <xf numFmtId="0" fontId="1" fillId="0" borderId="40" xfId="0" applyFont="1" applyBorder="1" applyAlignment="1">
      <alignment horizontal="center" vertical="center"/>
    </xf>
    <xf numFmtId="0" fontId="1" fillId="2" borderId="10" xfId="0" applyFont="1" applyFill="1" applyBorder="1" applyAlignment="1">
      <alignment horizontal="center"/>
    </xf>
    <xf numFmtId="0" fontId="1" fillId="2" borderId="5" xfId="0" applyFont="1" applyFill="1" applyBorder="1" applyAlignment="1">
      <alignment horizontal="center"/>
    </xf>
    <xf numFmtId="0" fontId="0" fillId="0" borderId="0" xfId="0" applyAlignment="1">
      <alignment vertical="center" wrapText="1"/>
    </xf>
    <xf numFmtId="38" fontId="0" fillId="0" borderId="14" xfId="0" applyNumberFormat="1" applyBorder="1"/>
    <xf numFmtId="38" fontId="0" fillId="0" borderId="15" xfId="0" applyNumberFormat="1" applyBorder="1"/>
    <xf numFmtId="0" fontId="0" fillId="8" borderId="0" xfId="0" applyFill="1" applyAlignment="1">
      <alignment vertical="center"/>
    </xf>
    <xf numFmtId="0" fontId="0" fillId="8" borderId="0" xfId="0" applyFill="1" applyAlignment="1"/>
    <xf numFmtId="0" fontId="0" fillId="0" borderId="0" xfId="0" applyFill="1" applyAlignment="1">
      <alignment vertical="center"/>
    </xf>
    <xf numFmtId="0" fontId="0" fillId="0" borderId="0" xfId="0" applyBorder="1" applyAlignment="1">
      <alignment horizontal="left" wrapText="1"/>
    </xf>
    <xf numFmtId="0" fontId="0" fillId="0" borderId="0" xfId="0"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 xfId="0" applyBorder="1" applyAlignment="1">
      <alignment horizontal="center"/>
    </xf>
    <xf numFmtId="0" fontId="0" fillId="0" borderId="1" xfId="0" applyFont="1" applyBorder="1" applyAlignment="1">
      <alignment horizontal="left" wrapText="1"/>
    </xf>
    <xf numFmtId="0" fontId="0" fillId="0" borderId="2" xfId="0" applyBorder="1" applyAlignment="1">
      <alignment horizontal="center" wrapText="1"/>
    </xf>
    <xf numFmtId="0" fontId="0" fillId="0" borderId="4" xfId="0" applyBorder="1" applyAlignment="1">
      <alignment horizontal="center" wrapText="1"/>
    </xf>
    <xf numFmtId="166" fontId="0" fillId="0" borderId="10" xfId="1" applyNumberFormat="1" applyFont="1" applyBorder="1" applyAlignment="1">
      <alignment horizontal="center"/>
    </xf>
    <xf numFmtId="166" fontId="0" fillId="0" borderId="11" xfId="1" applyNumberFormat="1" applyFont="1" applyBorder="1" applyAlignment="1">
      <alignment horizontal="center"/>
    </xf>
    <xf numFmtId="166" fontId="0" fillId="0" borderId="46" xfId="1" applyNumberFormat="1" applyFont="1" applyBorder="1" applyAlignment="1">
      <alignment horizontal="center"/>
    </xf>
    <xf numFmtId="0" fontId="1" fillId="0" borderId="0" xfId="0" applyFont="1" applyAlignment="1">
      <alignment horizontal="center"/>
    </xf>
    <xf numFmtId="0" fontId="4" fillId="0" borderId="0" xfId="0" applyFont="1" applyFill="1" applyAlignment="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5" xfId="0" applyFont="1" applyFill="1" applyBorder="1" applyAlignment="1">
      <alignment horizontal="center"/>
    </xf>
    <xf numFmtId="0" fontId="0" fillId="0" borderId="31" xfId="0" quotePrefix="1" applyFill="1" applyBorder="1" applyAlignment="1">
      <alignment horizontal="left" vertical="center" wrapText="1"/>
    </xf>
    <xf numFmtId="0" fontId="0" fillId="0" borderId="32" xfId="0" applyFill="1" applyBorder="1" applyAlignment="1">
      <alignment horizontal="left" vertical="center"/>
    </xf>
    <xf numFmtId="0" fontId="0" fillId="0" borderId="33" xfId="0" applyFill="1" applyBorder="1" applyAlignment="1">
      <alignment horizontal="left"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2" borderId="10"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10" xfId="0" applyFont="1" applyFill="1" applyBorder="1" applyAlignment="1">
      <alignment horizontal="center"/>
    </xf>
    <xf numFmtId="0" fontId="1" fillId="2" borderId="34" xfId="0" applyFont="1" applyFill="1" applyBorder="1" applyAlignment="1">
      <alignment horizont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0" fillId="0" borderId="46" xfId="0" applyFill="1" applyBorder="1" applyAlignment="1">
      <alignment horizontal="center" wrapText="1"/>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0" xfId="0" applyFill="1" applyBorder="1" applyAlignment="1">
      <alignment horizontal="center"/>
    </xf>
    <xf numFmtId="0" fontId="0" fillId="0" borderId="11" xfId="0" applyFill="1" applyBorder="1" applyAlignment="1">
      <alignment horizontal="center"/>
    </xf>
    <xf numFmtId="0" fontId="0" fillId="0" borderId="48" xfId="0" applyBorder="1" applyAlignment="1">
      <alignment horizontal="center"/>
    </xf>
    <xf numFmtId="0" fontId="0" fillId="0" borderId="8" xfId="0" applyBorder="1" applyAlignment="1">
      <alignment horizontal="center"/>
    </xf>
    <xf numFmtId="0" fontId="0" fillId="0" borderId="31" xfId="0" applyFill="1" applyBorder="1" applyAlignment="1">
      <alignment horizontal="left" vertical="center"/>
    </xf>
    <xf numFmtId="0" fontId="0" fillId="0" borderId="31"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left" vertical="center" wrapText="1"/>
    </xf>
    <xf numFmtId="0" fontId="0" fillId="0" borderId="0" xfId="0"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167" fontId="6" fillId="0" borderId="0" xfId="3" applyNumberFormat="1" applyFont="1" applyBorder="1" applyAlignment="1">
      <alignment horizontal="center"/>
    </xf>
    <xf numFmtId="167" fontId="6" fillId="0" borderId="8" xfId="3" applyNumberFormat="1" applyFont="1" applyBorder="1" applyAlignment="1">
      <alignment horizontal="center"/>
    </xf>
    <xf numFmtId="167" fontId="6" fillId="0" borderId="48" xfId="3" applyNumberFormat="1" applyFont="1" applyBorder="1" applyAlignment="1">
      <alignment horizontal="center"/>
    </xf>
    <xf numFmtId="167" fontId="6" fillId="0" borderId="10" xfId="3" applyNumberFormat="1" applyFont="1" applyBorder="1" applyAlignment="1">
      <alignment horizontal="center"/>
    </xf>
    <xf numFmtId="167" fontId="6" fillId="0" borderId="11" xfId="3" applyNumberFormat="1" applyFont="1" applyBorder="1" applyAlignment="1">
      <alignment horizontal="center"/>
    </xf>
    <xf numFmtId="0" fontId="11" fillId="0" borderId="13" xfId="0" applyFont="1" applyBorder="1" applyAlignment="1">
      <alignment horizontal="center"/>
    </xf>
    <xf numFmtId="0" fontId="11" fillId="0" borderId="12" xfId="0" applyFont="1" applyBorder="1" applyAlignment="1">
      <alignment horizontal="center"/>
    </xf>
    <xf numFmtId="0" fontId="0" fillId="0" borderId="13" xfId="0" applyBorder="1" applyAlignment="1">
      <alignment horizontal="center"/>
    </xf>
    <xf numFmtId="2" fontId="0" fillId="0" borderId="10" xfId="0" applyNumberFormat="1" applyBorder="1" applyAlignment="1">
      <alignment horizontal="center"/>
    </xf>
    <xf numFmtId="2" fontId="0" fillId="0" borderId="11" xfId="0" applyNumberFormat="1" applyBorder="1" applyAlignment="1">
      <alignment horizontal="center"/>
    </xf>
    <xf numFmtId="0" fontId="0" fillId="0" borderId="2" xfId="0" applyFill="1" applyBorder="1" applyAlignment="1">
      <alignment horizontal="center"/>
    </xf>
    <xf numFmtId="0" fontId="0" fillId="0" borderId="4" xfId="0" applyFill="1" applyBorder="1" applyAlignment="1">
      <alignment horizontal="center"/>
    </xf>
    <xf numFmtId="0" fontId="1" fillId="6" borderId="10"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0" borderId="0" xfId="0" applyFont="1" applyAlignment="1">
      <alignment horizontal="center" vertical="center" wrapText="1"/>
    </xf>
    <xf numFmtId="4" fontId="0" fillId="0" borderId="13" xfId="0" applyNumberFormat="1" applyBorder="1" applyAlignment="1">
      <alignment horizontal="center"/>
    </xf>
    <xf numFmtId="164" fontId="0" fillId="0" borderId="10" xfId="1" applyFont="1" applyBorder="1" applyAlignment="1">
      <alignment horizontal="center"/>
    </xf>
    <xf numFmtId="164" fontId="0" fillId="0" borderId="11" xfId="1"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center"/>
    </xf>
    <xf numFmtId="0" fontId="12" fillId="0" borderId="55" xfId="0" quotePrefix="1" applyFont="1" applyFill="1" applyBorder="1" applyAlignment="1">
      <alignment vertical="center" wrapText="1"/>
    </xf>
    <xf numFmtId="0" fontId="12" fillId="0" borderId="20" xfId="0" applyFont="1" applyFill="1" applyBorder="1" applyAlignment="1">
      <alignment vertical="center" wrapText="1"/>
    </xf>
    <xf numFmtId="0" fontId="0" fillId="0" borderId="0" xfId="0" applyBorder="1" applyAlignment="1">
      <alignment horizontal="center" vertical="center"/>
    </xf>
    <xf numFmtId="0" fontId="0" fillId="0" borderId="8" xfId="0" applyBorder="1" applyAlignment="1">
      <alignment horizontal="center" vertical="center"/>
    </xf>
    <xf numFmtId="166" fontId="0" fillId="0" borderId="13" xfId="1" applyNumberFormat="1" applyFont="1" applyBorder="1" applyAlignment="1">
      <alignment horizontal="center" vertical="center"/>
    </xf>
    <xf numFmtId="166" fontId="0" fillId="0" borderId="11" xfId="1" applyNumberFormat="1" applyFont="1" applyBorder="1" applyAlignment="1">
      <alignment horizontal="center" vertical="center"/>
    </xf>
    <xf numFmtId="166" fontId="0" fillId="0" borderId="10" xfId="1"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1" fillId="0" borderId="57" xfId="0" quotePrefix="1" applyFont="1" applyFill="1" applyBorder="1" applyAlignment="1">
      <alignment horizontal="center" vertical="center" wrapText="1"/>
    </xf>
    <xf numFmtId="0" fontId="1" fillId="0" borderId="13" xfId="0" quotePrefix="1" applyFont="1" applyFill="1" applyBorder="1" applyAlignment="1">
      <alignment horizontal="center" vertical="center" wrapText="1"/>
    </xf>
    <xf numFmtId="0" fontId="1" fillId="0" borderId="12" xfId="0" quotePrefix="1" applyFont="1" applyFill="1" applyBorder="1" applyAlignment="1">
      <alignment horizontal="center" vertical="center" wrapText="1"/>
    </xf>
    <xf numFmtId="0" fontId="1" fillId="2" borderId="57" xfId="0" applyFont="1" applyFill="1" applyBorder="1" applyAlignment="1">
      <alignment horizontal="center"/>
    </xf>
    <xf numFmtId="0" fontId="12" fillId="0" borderId="48" xfId="4" applyFont="1" applyFill="1" applyBorder="1" applyAlignment="1">
      <alignment horizontal="center"/>
    </xf>
    <xf numFmtId="0" fontId="12" fillId="0" borderId="8" xfId="4" applyFont="1" applyFill="1" applyBorder="1" applyAlignment="1">
      <alignment horizontal="center"/>
    </xf>
    <xf numFmtId="0" fontId="0" fillId="9" borderId="31" xfId="0" applyFill="1" applyBorder="1" applyAlignment="1">
      <alignment horizontal="left" vertical="center"/>
    </xf>
    <xf numFmtId="0" fontId="0" fillId="9" borderId="32" xfId="0" applyFill="1" applyBorder="1" applyAlignment="1">
      <alignment horizontal="left" vertical="center"/>
    </xf>
    <xf numFmtId="0" fontId="0" fillId="9" borderId="33" xfId="0" applyFill="1" applyBorder="1" applyAlignment="1">
      <alignment horizontal="left" vertical="center"/>
    </xf>
    <xf numFmtId="0" fontId="12" fillId="0" borderId="0" xfId="4" applyFont="1" applyFill="1" applyBorder="1" applyAlignment="1">
      <alignment horizontal="center"/>
    </xf>
    <xf numFmtId="0" fontId="14" fillId="5" borderId="13" xfId="4" applyBorder="1" applyAlignment="1">
      <alignment horizontal="center"/>
    </xf>
    <xf numFmtId="0" fontId="14" fillId="5" borderId="11" xfId="4" applyBorder="1" applyAlignment="1">
      <alignment horizontal="center"/>
    </xf>
    <xf numFmtId="167" fontId="12" fillId="0" borderId="10" xfId="4" applyNumberFormat="1" applyFont="1" applyFill="1" applyBorder="1" applyAlignment="1">
      <alignment horizontal="center"/>
    </xf>
    <xf numFmtId="167" fontId="12" fillId="0" borderId="11" xfId="4" applyNumberFormat="1" applyFont="1" applyFill="1" applyBorder="1" applyAlignment="1">
      <alignment horizontal="center"/>
    </xf>
    <xf numFmtId="0" fontId="12" fillId="0" borderId="3" xfId="4" applyFont="1" applyFill="1" applyBorder="1" applyAlignment="1">
      <alignment horizontal="center"/>
    </xf>
    <xf numFmtId="0" fontId="12" fillId="0" borderId="4" xfId="4" applyFont="1" applyFill="1" applyBorder="1" applyAlignment="1">
      <alignment horizontal="center"/>
    </xf>
    <xf numFmtId="0" fontId="12" fillId="0" borderId="2" xfId="4" applyFont="1" applyFill="1" applyBorder="1" applyAlignment="1">
      <alignment horizontal="center"/>
    </xf>
    <xf numFmtId="0" fontId="15" fillId="0" borderId="0" xfId="0" applyFont="1" applyAlignment="1">
      <alignment horizontal="center"/>
    </xf>
    <xf numFmtId="0" fontId="16" fillId="0" borderId="0" xfId="0" applyFont="1" applyFill="1" applyAlignment="1">
      <alignment horizontal="center"/>
    </xf>
    <xf numFmtId="0" fontId="16" fillId="0" borderId="72" xfId="0" applyFont="1" applyBorder="1" applyAlignment="1">
      <alignment horizontal="center"/>
    </xf>
    <xf numFmtId="0" fontId="17" fillId="0" borderId="13" xfId="0" applyFont="1" applyBorder="1" applyAlignment="1">
      <alignment horizontal="center"/>
    </xf>
    <xf numFmtId="0" fontId="17" fillId="0" borderId="12" xfId="0" applyFont="1" applyBorder="1" applyAlignment="1">
      <alignment horizontal="center"/>
    </xf>
    <xf numFmtId="0" fontId="15" fillId="2" borderId="5" xfId="0" applyFont="1" applyFill="1" applyBorder="1" applyAlignment="1">
      <alignment horizontal="center"/>
    </xf>
    <xf numFmtId="0" fontId="15" fillId="2" borderId="7" xfId="0" applyFont="1" applyFill="1" applyBorder="1" applyAlignment="1">
      <alignment horizontal="center"/>
    </xf>
    <xf numFmtId="0" fontId="15" fillId="2" borderId="6" xfId="0" applyFont="1" applyFill="1" applyBorder="1" applyAlignment="1">
      <alignment horizontal="center"/>
    </xf>
    <xf numFmtId="0" fontId="15" fillId="2" borderId="10" xfId="0" applyFont="1" applyFill="1" applyBorder="1" applyAlignment="1">
      <alignment horizontal="center"/>
    </xf>
    <xf numFmtId="0" fontId="15" fillId="2" borderId="34" xfId="0" applyFont="1" applyFill="1" applyBorder="1" applyAlignment="1">
      <alignment horizontal="center"/>
    </xf>
    <xf numFmtId="41" fontId="12" fillId="0" borderId="73" xfId="0" applyNumberFormat="1" applyFont="1" applyBorder="1" applyAlignment="1">
      <alignment horizontal="center" vertical="center"/>
    </xf>
    <xf numFmtId="41" fontId="12" fillId="0" borderId="14" xfId="0" applyNumberFormat="1"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2" fillId="0" borderId="48" xfId="0" applyFont="1" applyBorder="1" applyAlignment="1">
      <alignment horizontal="left" vertical="top" wrapText="1"/>
    </xf>
    <xf numFmtId="0" fontId="15" fillId="2" borderId="10" xfId="0" applyFont="1" applyFill="1" applyBorder="1" applyAlignment="1">
      <alignment horizontal="center" vertical="center" wrapText="1"/>
    </xf>
    <xf numFmtId="0" fontId="15" fillId="2" borderId="34" xfId="0" applyFont="1" applyFill="1" applyBorder="1" applyAlignment="1">
      <alignment horizontal="center" vertical="center" wrapText="1"/>
    </xf>
    <xf numFmtId="41" fontId="12" fillId="0" borderId="73" xfId="0" applyNumberFormat="1" applyFont="1" applyBorder="1" applyAlignment="1">
      <alignment vertical="center"/>
    </xf>
    <xf numFmtId="41" fontId="12" fillId="0" borderId="14" xfId="0" applyNumberFormat="1" applyFont="1" applyBorder="1" applyAlignment="1">
      <alignment vertical="center"/>
    </xf>
    <xf numFmtId="41" fontId="12" fillId="0" borderId="75" xfId="0" applyNumberFormat="1" applyFont="1" applyBorder="1" applyAlignment="1">
      <alignment horizontal="center" vertical="center"/>
    </xf>
    <xf numFmtId="41" fontId="12" fillId="0" borderId="71" xfId="0" applyNumberFormat="1" applyFont="1" applyBorder="1" applyAlignment="1">
      <alignment horizontal="center" vertical="center"/>
    </xf>
    <xf numFmtId="41" fontId="12" fillId="0" borderId="76" xfId="0" applyNumberFormat="1" applyFont="1" applyBorder="1" applyAlignment="1">
      <alignment vertical="center"/>
    </xf>
    <xf numFmtId="41" fontId="12" fillId="0" borderId="71" xfId="0" applyNumberFormat="1" applyFont="1" applyBorder="1" applyAlignment="1">
      <alignment vertical="center"/>
    </xf>
    <xf numFmtId="41" fontId="12" fillId="0" borderId="76" xfId="0" applyNumberFormat="1" applyFont="1" applyBorder="1" applyAlignment="1">
      <alignment horizontal="center" vertical="center"/>
    </xf>
    <xf numFmtId="168" fontId="12" fillId="0" borderId="74" xfId="0" applyNumberFormat="1" applyFont="1" applyBorder="1" applyAlignment="1">
      <alignment horizontal="right" vertical="center"/>
    </xf>
    <xf numFmtId="168" fontId="12" fillId="0" borderId="33" xfId="0" applyNumberFormat="1" applyFont="1" applyBorder="1" applyAlignment="1">
      <alignment horizontal="right" vertical="center"/>
    </xf>
    <xf numFmtId="168" fontId="12" fillId="0" borderId="77" xfId="0" applyNumberFormat="1" applyFont="1" applyBorder="1" applyAlignment="1">
      <alignment horizontal="right" vertical="center"/>
    </xf>
    <xf numFmtId="168" fontId="12" fillId="0" borderId="29" xfId="0" applyNumberFormat="1" applyFont="1" applyBorder="1" applyAlignment="1">
      <alignment horizontal="right" vertical="center"/>
    </xf>
    <xf numFmtId="168" fontId="12" fillId="0" borderId="78" xfId="0" applyNumberFormat="1" applyFont="1" applyBorder="1" applyAlignment="1">
      <alignment horizontal="right" vertical="center"/>
    </xf>
    <xf numFmtId="41" fontId="12" fillId="0" borderId="77" xfId="0" applyNumberFormat="1" applyFont="1" applyBorder="1" applyAlignment="1">
      <alignment horizontal="center" vertical="center"/>
    </xf>
    <xf numFmtId="41" fontId="12" fillId="0" borderId="29" xfId="0" applyNumberFormat="1" applyFont="1" applyBorder="1" applyAlignment="1">
      <alignment horizontal="center" vertical="center"/>
    </xf>
    <xf numFmtId="41" fontId="12" fillId="0" borderId="78" xfId="0" applyNumberFormat="1" applyFont="1" applyBorder="1" applyAlignment="1">
      <alignment horizontal="center" vertical="center"/>
    </xf>
    <xf numFmtId="41" fontId="12" fillId="0" borderId="31" xfId="0" applyNumberFormat="1" applyFont="1" applyBorder="1" applyAlignment="1">
      <alignment horizontal="center" vertical="center"/>
    </xf>
    <xf numFmtId="41" fontId="12" fillId="0" borderId="33" xfId="0" applyNumberFormat="1" applyFont="1" applyBorder="1" applyAlignment="1">
      <alignment horizontal="center" vertical="center"/>
    </xf>
    <xf numFmtId="41" fontId="12" fillId="0" borderId="74" xfId="0" applyNumberFormat="1" applyFont="1" applyBorder="1" applyAlignment="1">
      <alignment horizontal="center" vertical="center"/>
    </xf>
    <xf numFmtId="9" fontId="12" fillId="0" borderId="74" xfId="0" applyNumberFormat="1" applyFont="1" applyBorder="1" applyAlignment="1">
      <alignment horizontal="right" vertical="center"/>
    </xf>
    <xf numFmtId="0" fontId="12" fillId="0" borderId="33" xfId="0" applyFont="1" applyBorder="1" applyAlignment="1">
      <alignment horizontal="right" vertical="center"/>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0" borderId="33" xfId="0" applyFont="1" applyFill="1" applyBorder="1" applyAlignment="1">
      <alignment horizontal="left" vertical="top" wrapText="1"/>
    </xf>
    <xf numFmtId="0" fontId="12" fillId="0" borderId="0" xfId="0" applyFont="1" applyBorder="1" applyAlignment="1">
      <alignment horizontal="center"/>
    </xf>
    <xf numFmtId="0" fontId="12" fillId="0" borderId="8" xfId="0" applyFont="1" applyBorder="1" applyAlignment="1">
      <alignment horizontal="center"/>
    </xf>
    <xf numFmtId="0" fontId="12" fillId="0" borderId="48" xfId="0" applyFont="1" applyBorder="1" applyAlignment="1">
      <alignment horizontal="center"/>
    </xf>
    <xf numFmtId="0" fontId="12" fillId="0" borderId="1" xfId="0" applyFont="1" applyBorder="1" applyAlignment="1">
      <alignment horizontal="left" wrapText="1"/>
    </xf>
    <xf numFmtId="0" fontId="12" fillId="0" borderId="0" xfId="0" applyFont="1" applyBorder="1" applyAlignment="1">
      <alignment horizontal="left" wrapText="1"/>
    </xf>
    <xf numFmtId="0" fontId="12" fillId="0" borderId="0" xfId="0" applyFont="1" applyAlignment="1">
      <alignment horizontal="left" vertical="center" wrapText="1"/>
    </xf>
    <xf numFmtId="41" fontId="12" fillId="0" borderId="13" xfId="0" applyNumberFormat="1" applyFont="1" applyBorder="1" applyAlignment="1">
      <alignment horizontal="center"/>
    </xf>
    <xf numFmtId="41" fontId="12" fillId="0" borderId="11" xfId="0" applyNumberFormat="1" applyFont="1" applyBorder="1" applyAlignment="1">
      <alignment horizontal="center"/>
    </xf>
    <xf numFmtId="41" fontId="12" fillId="0" borderId="10" xfId="0" applyNumberFormat="1" applyFont="1" applyBorder="1" applyAlignment="1">
      <alignment horizontal="center"/>
    </xf>
    <xf numFmtId="0" fontId="12" fillId="0" borderId="3" xfId="0" applyFont="1" applyBorder="1" applyAlignment="1">
      <alignment horizontal="center"/>
    </xf>
    <xf numFmtId="0" fontId="12" fillId="0" borderId="4" xfId="0" applyFont="1" applyBorder="1" applyAlignment="1">
      <alignment horizontal="center"/>
    </xf>
    <xf numFmtId="0" fontId="12" fillId="0" borderId="2" xfId="0" applyFont="1" applyBorder="1" applyAlignment="1">
      <alignment horizontal="center"/>
    </xf>
    <xf numFmtId="3" fontId="0" fillId="0" borderId="13" xfId="0" applyNumberFormat="1" applyBorder="1" applyAlignment="1">
      <alignment horizontal="center"/>
    </xf>
    <xf numFmtId="3" fontId="0" fillId="0" borderId="11" xfId="0" applyNumberFormat="1" applyBorder="1" applyAlignment="1">
      <alignment horizontal="center"/>
    </xf>
    <xf numFmtId="0" fontId="4" fillId="0" borderId="46" xfId="0" applyFont="1" applyBorder="1" applyAlignment="1">
      <alignment horizontal="center"/>
    </xf>
    <xf numFmtId="0" fontId="0" fillId="0" borderId="83" xfId="0" applyBorder="1" applyAlignment="1">
      <alignment wrapText="1"/>
    </xf>
    <xf numFmtId="164" fontId="0" fillId="0" borderId="46" xfId="1" applyFont="1" applyBorder="1" applyAlignment="1">
      <alignment horizont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87" xfId="0" applyFill="1" applyBorder="1" applyAlignment="1">
      <alignment horizontal="center" vertical="center"/>
    </xf>
    <xf numFmtId="0" fontId="0" fillId="0" borderId="27" xfId="0" applyFill="1" applyBorder="1" applyAlignment="1">
      <alignment horizontal="center" vertical="center"/>
    </xf>
    <xf numFmtId="0" fontId="0" fillId="0" borderId="88" xfId="0" applyFill="1" applyBorder="1" applyAlignment="1">
      <alignment horizontal="center" vertical="center"/>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22" xfId="0" applyBorder="1" applyAlignment="1">
      <alignment horizontal="center" vertical="center"/>
    </xf>
    <xf numFmtId="0" fontId="0" fillId="0" borderId="87"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88" xfId="0" applyFill="1" applyBorder="1" applyAlignment="1">
      <alignment horizontal="center" vertical="center" wrapText="1"/>
    </xf>
    <xf numFmtId="0" fontId="22" fillId="0" borderId="72" xfId="0" applyFont="1" applyBorder="1" applyAlignment="1">
      <alignment horizontal="center"/>
    </xf>
    <xf numFmtId="0" fontId="0" fillId="0" borderId="0" xfId="0" applyAlignment="1">
      <alignment vertical="center" wrapText="1"/>
    </xf>
    <xf numFmtId="167" fontId="0" fillId="0" borderId="13" xfId="3" applyNumberFormat="1" applyFont="1" applyFill="1" applyBorder="1" applyAlignment="1">
      <alignment horizontal="center"/>
    </xf>
    <xf numFmtId="167" fontId="0" fillId="0" borderId="11" xfId="3" applyNumberFormat="1" applyFont="1" applyFill="1" applyBorder="1" applyAlignment="1">
      <alignment horizontal="center"/>
    </xf>
    <xf numFmtId="167" fontId="0" fillId="0" borderId="10" xfId="3" applyNumberFormat="1" applyFont="1" applyFill="1" applyBorder="1" applyAlignment="1">
      <alignment horizontal="center"/>
    </xf>
    <xf numFmtId="167" fontId="0" fillId="0" borderId="10" xfId="3" applyNumberFormat="1" applyFont="1" applyBorder="1" applyAlignment="1">
      <alignment horizontal="center"/>
    </xf>
    <xf numFmtId="167" fontId="0" fillId="0" borderId="11" xfId="3" applyNumberFormat="1" applyFont="1" applyBorder="1" applyAlignment="1">
      <alignment horizontal="center"/>
    </xf>
    <xf numFmtId="0" fontId="1" fillId="11" borderId="0" xfId="0" applyFont="1" applyFill="1" applyAlignment="1">
      <alignment horizontal="center"/>
    </xf>
    <xf numFmtId="43" fontId="0" fillId="0" borderId="13" xfId="3" applyFont="1" applyBorder="1" applyAlignment="1">
      <alignment horizontal="center"/>
    </xf>
    <xf numFmtId="43" fontId="0" fillId="0" borderId="11" xfId="3" applyFont="1" applyBorder="1" applyAlignment="1">
      <alignment horizontal="center"/>
    </xf>
    <xf numFmtId="43" fontId="0" fillId="0" borderId="10" xfId="3" applyFont="1" applyBorder="1" applyAlignment="1">
      <alignment horizontal="center"/>
    </xf>
    <xf numFmtId="0" fontId="3" fillId="0" borderId="72" xfId="0" applyFont="1" applyBorder="1" applyAlignment="1">
      <alignment horizontal="center"/>
    </xf>
    <xf numFmtId="0" fontId="3" fillId="0" borderId="46" xfId="0"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xf>
    <xf numFmtId="166" fontId="0" fillId="0" borderId="73" xfId="1" applyNumberFormat="1" applyFont="1" applyBorder="1" applyAlignment="1">
      <alignment horizontal="center" vertical="center"/>
    </xf>
    <xf numFmtId="166" fontId="0" fillId="0" borderId="14" xfId="1" applyNumberFormat="1" applyFont="1" applyBorder="1" applyAlignment="1">
      <alignment horizontal="center" vertical="center"/>
    </xf>
    <xf numFmtId="0" fontId="0" fillId="0" borderId="73" xfId="0" applyBorder="1" applyAlignment="1">
      <alignment horizontal="center" vertical="center"/>
    </xf>
    <xf numFmtId="0" fontId="0" fillId="0" borderId="14" xfId="0" applyBorder="1" applyAlignment="1">
      <alignment horizontal="center" vertical="center"/>
    </xf>
    <xf numFmtId="0" fontId="0" fillId="0" borderId="48" xfId="0" applyBorder="1" applyAlignment="1">
      <alignment horizontal="left" wrapText="1"/>
    </xf>
    <xf numFmtId="0" fontId="0" fillId="0" borderId="0" xfId="0" applyAlignment="1">
      <alignment horizontal="left" wrapText="1"/>
    </xf>
    <xf numFmtId="0" fontId="0" fillId="8" borderId="10" xfId="0" applyFill="1" applyBorder="1" applyAlignment="1">
      <alignment horizontal="center"/>
    </xf>
    <xf numFmtId="0" fontId="0" fillId="8" borderId="11" xfId="0" applyFill="1" applyBorder="1" applyAlignment="1">
      <alignment horizontal="center"/>
    </xf>
    <xf numFmtId="0" fontId="0" fillId="8" borderId="13" xfId="0"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166" fontId="0" fillId="0" borderId="47" xfId="1" applyNumberFormat="1" applyFont="1" applyFill="1" applyBorder="1"/>
    <xf numFmtId="166" fontId="0" fillId="0" borderId="19" xfId="1" applyNumberFormat="1" applyFont="1" applyBorder="1"/>
    <xf numFmtId="166" fontId="0" fillId="0" borderId="20" xfId="1" applyNumberFormat="1" applyFont="1" applyBorder="1"/>
    <xf numFmtId="166" fontId="0" fillId="12" borderId="19" xfId="1" applyNumberFormat="1" applyFont="1" applyFill="1" applyBorder="1" applyAlignment="1">
      <alignment horizontal="center"/>
    </xf>
    <xf numFmtId="166" fontId="0" fillId="0" borderId="9" xfId="0" applyNumberFormat="1" applyBorder="1"/>
    <xf numFmtId="166" fontId="0" fillId="12" borderId="19" xfId="0" applyNumberFormat="1" applyFill="1" applyBorder="1" applyAlignment="1">
      <alignment horizontal="center"/>
    </xf>
    <xf numFmtId="166" fontId="0" fillId="0" borderId="21" xfId="1" applyNumberFormat="1" applyFont="1" applyFill="1" applyBorder="1"/>
    <xf numFmtId="166" fontId="0" fillId="0" borderId="15" xfId="1" applyNumberFormat="1" applyFont="1" applyFill="1" applyBorder="1"/>
    <xf numFmtId="166" fontId="0" fillId="0" borderId="22" xfId="1" applyNumberFormat="1" applyFont="1" applyFill="1" applyBorder="1"/>
    <xf numFmtId="166" fontId="0" fillId="0" borderId="21" xfId="1" applyNumberFormat="1" applyFont="1" applyBorder="1"/>
    <xf numFmtId="166" fontId="0" fillId="0" borderId="22" xfId="1" applyNumberFormat="1" applyFont="1" applyBorder="1"/>
    <xf numFmtId="174" fontId="0" fillId="0" borderId="21" xfId="1" applyNumberFormat="1" applyFont="1" applyBorder="1"/>
    <xf numFmtId="174" fontId="0" fillId="0" borderId="15" xfId="1" applyNumberFormat="1" applyFont="1" applyBorder="1"/>
    <xf numFmtId="174" fontId="0" fillId="0" borderId="22" xfId="1" applyNumberFormat="1" applyFont="1" applyBorder="1"/>
    <xf numFmtId="0" fontId="2" fillId="0" borderId="36" xfId="0" applyFont="1" applyFill="1" applyBorder="1" applyAlignment="1">
      <alignment vertical="center" wrapText="1"/>
    </xf>
    <xf numFmtId="166" fontId="0" fillId="0" borderId="9" xfId="1" applyNumberFormat="1" applyFont="1" applyBorder="1"/>
    <xf numFmtId="166" fontId="0" fillId="0" borderId="18" xfId="1" applyNumberFormat="1" applyFont="1" applyFill="1" applyBorder="1" applyAlignment="1">
      <alignment vertical="center"/>
    </xf>
    <xf numFmtId="166" fontId="0" fillId="0" borderId="25" xfId="1" applyNumberFormat="1" applyFont="1" applyFill="1" applyBorder="1" applyAlignment="1">
      <alignment vertical="center"/>
    </xf>
    <xf numFmtId="166" fontId="0" fillId="0" borderId="14" xfId="1" applyNumberFormat="1" applyFont="1" applyBorder="1" applyAlignment="1">
      <alignment vertical="center"/>
    </xf>
    <xf numFmtId="0" fontId="0" fillId="12" borderId="19" xfId="0" applyFill="1" applyBorder="1" applyAlignment="1">
      <alignment horizontal="center"/>
    </xf>
    <xf numFmtId="166" fontId="0" fillId="0" borderId="23" xfId="1" applyNumberFormat="1" applyFont="1" applyFill="1" applyBorder="1" applyAlignment="1">
      <alignment vertical="center"/>
    </xf>
    <xf numFmtId="166" fontId="0" fillId="0" borderId="27" xfId="1" applyNumberFormat="1" applyFont="1" applyFill="1" applyBorder="1" applyAlignment="1">
      <alignment vertical="center"/>
    </xf>
    <xf numFmtId="166" fontId="0" fillId="0" borderId="8" xfId="1" applyNumberFormat="1" applyFont="1" applyBorder="1" applyAlignment="1">
      <alignment vertical="center"/>
    </xf>
    <xf numFmtId="166" fontId="0" fillId="0" borderId="24" xfId="1" applyNumberFormat="1" applyFont="1" applyBorder="1" applyAlignment="1">
      <alignment vertical="center"/>
    </xf>
    <xf numFmtId="0" fontId="0" fillId="0" borderId="0" xfId="0" quotePrefix="1" applyAlignment="1">
      <alignment vertical="center"/>
    </xf>
    <xf numFmtId="166" fontId="0" fillId="0" borderId="24" xfId="1" applyNumberFormat="1" applyFont="1" applyBorder="1" applyAlignment="1">
      <alignment horizontal="center" vertical="center"/>
    </xf>
    <xf numFmtId="166" fontId="0" fillId="0" borderId="28" xfId="1" applyNumberFormat="1" applyFont="1" applyBorder="1"/>
    <xf numFmtId="166" fontId="0" fillId="0" borderId="29" xfId="1" applyNumberFormat="1" applyFont="1" applyBorder="1"/>
    <xf numFmtId="0" fontId="0" fillId="0" borderId="0" xfId="0" quotePrefix="1"/>
    <xf numFmtId="166" fontId="0" fillId="0" borderId="30" xfId="1" applyNumberFormat="1" applyFont="1" applyBorder="1"/>
    <xf numFmtId="166" fontId="0" fillId="0" borderId="13" xfId="1" applyNumberFormat="1" applyFont="1" applyBorder="1" applyAlignment="1">
      <alignment horizontal="center"/>
    </xf>
    <xf numFmtId="0" fontId="0" fillId="0" borderId="1" xfId="0" applyFont="1" applyBorder="1" applyAlignment="1">
      <alignment wrapText="1"/>
    </xf>
    <xf numFmtId="0" fontId="0" fillId="0" borderId="93" xfId="0" quotePrefix="1" applyFont="1" applyBorder="1" applyAlignment="1">
      <alignment horizontal="center" wrapText="1"/>
    </xf>
    <xf numFmtId="0" fontId="0" fillId="0" borderId="94" xfId="0" applyFont="1" applyBorder="1" applyAlignment="1">
      <alignment horizontal="center" wrapText="1"/>
    </xf>
    <xf numFmtId="0" fontId="0" fillId="0" borderId="95" xfId="0" applyFont="1" applyBorder="1" applyAlignment="1">
      <alignment horizontal="center" wrapText="1"/>
    </xf>
    <xf numFmtId="0" fontId="0" fillId="0" borderId="93" xfId="0" applyFont="1" applyBorder="1" applyAlignment="1">
      <alignment horizontal="center" wrapText="1"/>
    </xf>
    <xf numFmtId="0" fontId="0" fillId="0" borderId="0" xfId="0" applyFont="1" applyAlignment="1">
      <alignment vertical="center" wrapText="1"/>
    </xf>
    <xf numFmtId="0" fontId="1" fillId="2" borderId="96" xfId="0" applyFont="1" applyFill="1" applyBorder="1" applyAlignment="1">
      <alignment horizontal="center"/>
    </xf>
    <xf numFmtId="0" fontId="1" fillId="2" borderId="97" xfId="0" applyFont="1" applyFill="1" applyBorder="1" applyAlignment="1">
      <alignment horizontal="center"/>
    </xf>
    <xf numFmtId="0" fontId="1" fillId="2" borderId="98" xfId="0" applyFont="1" applyFill="1" applyBorder="1" applyAlignment="1">
      <alignment horizontal="center"/>
    </xf>
    <xf numFmtId="0" fontId="0" fillId="0" borderId="10" xfId="0" applyBorder="1" applyAlignment="1">
      <alignment horizontal="left" vertical="center"/>
    </xf>
    <xf numFmtId="10" fontId="0" fillId="0" borderId="44" xfId="0" applyNumberFormat="1" applyBorder="1" applyAlignment="1">
      <alignment horizontal="center" vertical="center"/>
    </xf>
    <xf numFmtId="10" fontId="0" fillId="0" borderId="99" xfId="0" applyNumberFormat="1" applyBorder="1" applyAlignment="1">
      <alignment horizontal="center" vertical="center"/>
    </xf>
    <xf numFmtId="10" fontId="0" fillId="0" borderId="12" xfId="0" applyNumberFormat="1" applyBorder="1" applyAlignment="1">
      <alignment horizontal="center" vertical="center"/>
    </xf>
    <xf numFmtId="0" fontId="0" fillId="0" borderId="10" xfId="0" applyBorder="1" applyAlignment="1">
      <alignment vertical="center"/>
    </xf>
    <xf numFmtId="0" fontId="1" fillId="2" borderId="44" xfId="0" applyFont="1" applyFill="1" applyBorder="1" applyAlignment="1">
      <alignment horizontal="center"/>
    </xf>
    <xf numFmtId="0" fontId="1" fillId="2" borderId="99" xfId="0" applyFont="1" applyFill="1" applyBorder="1" applyAlignment="1">
      <alignment horizontal="center"/>
    </xf>
    <xf numFmtId="0" fontId="1" fillId="2" borderId="12" xfId="0" applyFont="1" applyFill="1" applyBorder="1" applyAlignment="1">
      <alignment horizontal="center"/>
    </xf>
    <xf numFmtId="0" fontId="0" fillId="0" borderId="100" xfId="0" applyBorder="1" applyAlignment="1">
      <alignment vertical="center"/>
    </xf>
    <xf numFmtId="10" fontId="0" fillId="0" borderId="101" xfId="0" applyNumberFormat="1" applyBorder="1" applyAlignment="1">
      <alignment horizontal="center" vertical="center"/>
    </xf>
    <xf numFmtId="10" fontId="0" fillId="0" borderId="102" xfId="0" applyNumberFormat="1" applyBorder="1" applyAlignment="1">
      <alignment horizontal="center" vertical="center"/>
    </xf>
    <xf numFmtId="10" fontId="0" fillId="0" borderId="16" xfId="0" applyNumberFormat="1" applyBorder="1" applyAlignment="1">
      <alignment horizontal="center" vertical="center"/>
    </xf>
  </cellXfs>
  <cellStyles count="7">
    <cellStyle name="Comma" xfId="1" builtinId="3"/>
    <cellStyle name="Comma 2" xfId="3"/>
    <cellStyle name="Comma 3" xfId="6"/>
    <cellStyle name="Neutral 2" xfId="4"/>
    <cellStyle name="Normal" xfId="0" builtinId="0"/>
    <cellStyle name="Percent" xfId="2" builtinId="5"/>
    <cellStyle name="Standard_PEN"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qi.zhao\AppData\Local\Microsoft\Windows\Temporary%20Internet%20Files\Content.Outlook\48DYHEN9\Reviewed%20ASHI%20Survey%2021st%20April_WFP%20submit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qi.zhao\AppData\Local\Microsoft\Windows\Temporary%20Internet%20Files\Content.Outlook\48DYHEN9\UNIDO_Survey_UN%20system_funding_of_ASHI_liability_04_09-08-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A11\Secure\Departments\Dept-FNS\t-HIP\UnitData\FINANCE\Archive\ASHI_Working_Group\Survey_2016\ASHI_Survey_17_June_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A11\Secure\Departments\Dept-FNS\t-HIP\UnitData\FINANCE\Financial_Report\Financial_Report_2016\Statements%20and%20notes%20for%202016%20Dec%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VA11\Secure\Departments\Dept-FNS\t-HIP\UnitData\FINANCE\Financial_Report\Financial_Report_2013\Statements%20and%20notes%20for%202013%20Dec%20201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VA11\Secure\Departments\Dept-FNS\t-HIP\UnitData\FINANCE\Financial_Report\Financial_Report_2014\Statements%20and%20notes%20for%202014%20Dec%20201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VA11\Secure\Departments\Dept-FNS\t-HIP\UnitData\FINANCE\Financial_Report\Financial_Report_2012\SHI%20IPSAS%20Accounts%20Dec%2012\31st%20December%202012\Statements%20and%20notes%20for%202012%20Dec%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VA11\Secure\Departments\Dept-FNS\t-HIP\UnitData\FINANCE\Financial_Report\Financial_Report_2015\Statements%20and%20notes%20for%202015%20Dec%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4">
          <cell r="C4">
            <v>450342166</v>
          </cell>
          <cell r="D4">
            <v>477813075</v>
          </cell>
          <cell r="E4">
            <v>328068297</v>
          </cell>
        </row>
        <row r="11">
          <cell r="C11">
            <v>3770600000</v>
          </cell>
          <cell r="D11">
            <v>3922700000</v>
          </cell>
          <cell r="E11">
            <v>3672700000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Working (EUR)"/>
      <sheetName val="Sheet2"/>
      <sheetName val="Sheet3"/>
    </sheetNames>
    <sheetDataSet>
      <sheetData sheetId="0"/>
      <sheetData sheetId="1">
        <row r="7">
          <cell r="C7">
            <v>0.754</v>
          </cell>
          <cell r="E7">
            <v>0.72499999999999998</v>
          </cell>
          <cell r="G7">
            <v>0.82</v>
          </cell>
          <cell r="I7">
            <v>0.91400000000000003</v>
          </cell>
          <cell r="K7">
            <v>0.95599999999999996</v>
          </cell>
        </row>
        <row r="12">
          <cell r="C12">
            <v>-118999529.84</v>
          </cell>
          <cell r="D12">
            <v>-31194808.209999993</v>
          </cell>
          <cell r="E12">
            <v>-120963869.47</v>
          </cell>
          <cell r="F12">
            <v>-29258259.729999989</v>
          </cell>
          <cell r="G12">
            <v>-156503384.87</v>
          </cell>
          <cell r="H12">
            <v>-46293780.210000008</v>
          </cell>
          <cell r="I12">
            <v>-151590278.22</v>
          </cell>
          <cell r="J12">
            <v>-39596669.23999998</v>
          </cell>
          <cell r="K12">
            <v>-175090601.53</v>
          </cell>
          <cell r="L12">
            <v>-56425060.079999983</v>
          </cell>
        </row>
        <row r="14">
          <cell r="C14">
            <v>272962700</v>
          </cell>
          <cell r="E14">
            <v>229686200</v>
          </cell>
          <cell r="G14">
            <v>245979000</v>
          </cell>
          <cell r="I14">
            <v>364287000</v>
          </cell>
          <cell r="K14">
            <v>414553000</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sign"/>
      <sheetName val="Eligibility+Enroll+Demo"/>
      <sheetName val="ASHI Liability"/>
      <sheetName val="Finance of Plan"/>
      <sheetName val="Administration"/>
      <sheetName val="Legal implications + Governance"/>
    </sheetNames>
    <sheetDataSet>
      <sheetData sheetId="0"/>
      <sheetData sheetId="1"/>
      <sheetData sheetId="2">
        <row r="21">
          <cell r="D21">
            <v>1495516756.118995</v>
          </cell>
          <cell r="E21">
            <v>1594974755</v>
          </cell>
          <cell r="F21">
            <v>1918060177</v>
          </cell>
        </row>
      </sheetData>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hanges 2012"/>
      <sheetName val="Statement I"/>
      <sheetName val="Statement II"/>
      <sheetName val="Statement III"/>
      <sheetName val="Statement IV"/>
      <sheetName val="Statement V"/>
      <sheetName val="Fund Balance Notes"/>
      <sheetName val="Treasury Notes 1"/>
      <sheetName val="Treasury Notes 2"/>
      <sheetName val="Treasury Notes 3"/>
      <sheetName val="Treasury Notes 4"/>
      <sheetName val="Liability &amp; Deficit per Entity"/>
      <sheetName val="Other Asset Notes"/>
      <sheetName val="Cash and equivalents"/>
      <sheetName val="IPSAS 24"/>
      <sheetName val="Sheet1"/>
      <sheetName val="Other Liability Notes"/>
      <sheetName val="Revenue and Expense Notes 1"/>
      <sheetName val="Revenue and Expense Notes 2"/>
      <sheetName val="Hewitt DBO Reference"/>
    </sheetNames>
    <sheetDataSet>
      <sheetData sheetId="0"/>
      <sheetData sheetId="1"/>
      <sheetData sheetId="2">
        <row r="15">
          <cell r="K15">
            <v>125020.55276000001</v>
          </cell>
          <cell r="M15">
            <v>16888.414000000001</v>
          </cell>
        </row>
      </sheetData>
      <sheetData sheetId="3"/>
      <sheetData sheetId="4"/>
      <sheetData sheetId="5"/>
      <sheetData sheetId="6">
        <row r="6">
          <cell r="G6">
            <v>29619</v>
          </cell>
          <cell r="I6">
            <v>29931</v>
          </cell>
        </row>
        <row r="10">
          <cell r="G10">
            <v>848887.68276</v>
          </cell>
          <cell r="I10">
            <v>723867.12999999966</v>
          </cell>
        </row>
      </sheetData>
      <sheetData sheetId="7"/>
      <sheetData sheetId="8"/>
      <sheetData sheetId="9"/>
      <sheetData sheetId="10"/>
      <sheetData sheetId="11"/>
      <sheetData sheetId="12"/>
      <sheetData sheetId="13"/>
      <sheetData sheetId="14"/>
      <sheetData sheetId="15"/>
      <sheetData sheetId="16">
        <row r="43">
          <cell r="E43">
            <v>2361861.071</v>
          </cell>
          <cell r="G43">
            <v>2211201.4210000001</v>
          </cell>
        </row>
      </sheetData>
      <sheetData sheetId="17">
        <row r="48">
          <cell r="K48">
            <v>64589.524460000001</v>
          </cell>
        </row>
        <row r="49">
          <cell r="K49">
            <v>190466.82053800003</v>
          </cell>
          <cell r="M49">
            <v>82919.029640000168</v>
          </cell>
        </row>
        <row r="89">
          <cell r="E89">
            <v>23665.311110000002</v>
          </cell>
          <cell r="G89">
            <v>-13459.046970000001</v>
          </cell>
        </row>
      </sheetData>
      <sheetData sheetId="18"/>
      <sheetData sheetId="1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hanges 2012"/>
      <sheetName val="Statement I"/>
      <sheetName val="Statement II"/>
      <sheetName val="Statement III"/>
      <sheetName val="Statement IV"/>
      <sheetName val="Statement V"/>
      <sheetName val="Fund Balance Notes"/>
      <sheetName val="Treasury Notes 1"/>
      <sheetName val="Treasury Notes 2"/>
      <sheetName val="Treasury Notes 3"/>
      <sheetName val="Treasury Notes 4"/>
      <sheetName val="Liability &amp; Deficit per Entity"/>
      <sheetName val="Other Asset Notes"/>
      <sheetName val="Other Liability Notes"/>
      <sheetName val="Revenue and Expense Notes 1"/>
      <sheetName val="Cash and equivalents"/>
      <sheetName val="IPSAS 24"/>
      <sheetName val="Sheet1"/>
      <sheetName val="Revenue and Expense Notes 2"/>
      <sheetName val="Hewitt DBO Reference"/>
    </sheetNames>
    <sheetDataSet>
      <sheetData sheetId="0"/>
      <sheetData sheetId="1"/>
      <sheetData sheetId="2">
        <row r="13">
          <cell r="M13">
            <v>73100179.269999996</v>
          </cell>
        </row>
      </sheetData>
      <sheetData sheetId="3"/>
      <sheetData sheetId="4"/>
      <sheetData sheetId="5"/>
      <sheetData sheetId="6">
        <row r="6">
          <cell r="I6">
            <v>21417513.620000001</v>
          </cell>
        </row>
        <row r="9">
          <cell r="I9">
            <v>600918429.71999979</v>
          </cell>
        </row>
      </sheetData>
      <sheetData sheetId="7"/>
      <sheetData sheetId="8"/>
      <sheetData sheetId="9"/>
      <sheetData sheetId="10"/>
      <sheetData sheetId="11"/>
      <sheetData sheetId="12"/>
      <sheetData sheetId="13"/>
      <sheetData sheetId="14">
        <row r="17">
          <cell r="G17">
            <v>44388444.440000005</v>
          </cell>
        </row>
        <row r="49">
          <cell r="K49">
            <v>112418556.55000021</v>
          </cell>
          <cell r="M49">
            <v>81383402.110000044</v>
          </cell>
        </row>
      </sheetData>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hanges 2012"/>
      <sheetName val="Statement I"/>
      <sheetName val="Statement II"/>
      <sheetName val="Statement III"/>
      <sheetName val="Statement IV"/>
      <sheetName val="Statement V"/>
      <sheetName val="Fund Balance Notes"/>
      <sheetName val="Treasury Notes 1"/>
      <sheetName val="Treasury Notes 2"/>
      <sheetName val="Treasury Notes 3"/>
      <sheetName val="Treasury Notes 4"/>
      <sheetName val="Liability &amp; Deficit per Entity"/>
      <sheetName val="Other Asset Notes"/>
      <sheetName val="Other Liability Notes"/>
      <sheetName val="Revenue and Expense Notes 1"/>
      <sheetName val="Cash and equivalents"/>
      <sheetName val="IPSAS 24"/>
      <sheetName val="Sheet1"/>
      <sheetName val="Revenue and Expense Notes 2"/>
      <sheetName val="Hewitt DBO Reference"/>
    </sheetNames>
    <sheetDataSet>
      <sheetData sheetId="0"/>
      <sheetData sheetId="1"/>
      <sheetData sheetId="2">
        <row r="13">
          <cell r="K13">
            <v>47212816.469999999</v>
          </cell>
          <cell r="M13">
            <v>58847484.13000001</v>
          </cell>
        </row>
      </sheetData>
      <sheetData sheetId="3"/>
      <sheetData sheetId="4"/>
      <sheetData sheetId="5"/>
      <sheetData sheetId="6">
        <row r="6">
          <cell r="G6">
            <v>30096677</v>
          </cell>
          <cell r="I6">
            <v>23438348</v>
          </cell>
        </row>
        <row r="9">
          <cell r="G9">
            <v>706978716</v>
          </cell>
          <cell r="I9">
            <v>659765915</v>
          </cell>
        </row>
      </sheetData>
      <sheetData sheetId="7"/>
      <sheetData sheetId="8"/>
      <sheetData sheetId="9"/>
      <sheetData sheetId="10"/>
      <sheetData sheetId="11"/>
      <sheetData sheetId="12"/>
      <sheetData sheetId="13"/>
      <sheetData sheetId="14">
        <row r="17">
          <cell r="E17">
            <v>14494076.639999999</v>
          </cell>
          <cell r="G17">
            <v>33319541.040000003</v>
          </cell>
        </row>
        <row r="49">
          <cell r="K49">
            <v>118831380.98999998</v>
          </cell>
          <cell r="M49">
            <v>80065461.830000296</v>
          </cell>
        </row>
      </sheetData>
      <sheetData sheetId="15"/>
      <sheetData sheetId="16"/>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hanges 2012"/>
      <sheetName val="Statement I"/>
      <sheetName val="Statement II"/>
      <sheetName val="Statement III"/>
      <sheetName val="Statement IV"/>
      <sheetName val="Statement V"/>
      <sheetName val="Treasury Notes 1"/>
      <sheetName val="Treasury Notes 2"/>
      <sheetName val="Treasury Notes 3"/>
      <sheetName val="Treasury Notes 4"/>
      <sheetName val="Treasury Notes 5"/>
      <sheetName val="Other Asset Notes"/>
      <sheetName val="Other Liability Notes"/>
      <sheetName val="Revenue and Expense Notes"/>
      <sheetName val="Cash and equivalents"/>
      <sheetName val="IPSAS 24"/>
      <sheetName val="Sheet1"/>
      <sheetName val="Hewitt DBO 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9">
          <cell r="E9">
            <v>109878216.39999999</v>
          </cell>
        </row>
        <row r="25">
          <cell r="E25">
            <v>75889760.890000001</v>
          </cell>
        </row>
      </sheetData>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hanges 2012"/>
      <sheetName val="Statement I"/>
      <sheetName val="Statement II"/>
      <sheetName val="Statement III"/>
      <sheetName val="Statement IV"/>
      <sheetName val="Statement V"/>
      <sheetName val="Fund Balance Notes"/>
      <sheetName val="Treasury Notes 1"/>
      <sheetName val="Treasury Notes 2"/>
      <sheetName val="Treasury Notes 3"/>
      <sheetName val="Treasury Notes 4"/>
      <sheetName val="Liability &amp; Deficit per Entity"/>
      <sheetName val="Other Asset Notes"/>
      <sheetName val="Cash and equivalents"/>
      <sheetName val="IPSAS 24"/>
      <sheetName val="Sheet1"/>
      <sheetName val="Other Liability Notes"/>
      <sheetName val="Revenue and Expense Notes 1"/>
      <sheetName val="Revenue and Expense Notes 2"/>
      <sheetName val="Hewitt DBO Referenc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47">
          <cell r="K47">
            <v>120529.62823695062</v>
          </cell>
          <cell r="M47">
            <v>83187.143399999884</v>
          </cell>
        </row>
      </sheetData>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5" zoomScaleNormal="85" workbookViewId="0">
      <selection activeCell="D13" sqref="D13"/>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45</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52">
        <f>25687867/0.619</f>
        <v>41498977.382875606</v>
      </c>
      <c r="D12" s="47">
        <v>0</v>
      </c>
      <c r="E12" s="52">
        <f>28868715/0.605</f>
        <v>47716884.29752066</v>
      </c>
      <c r="F12" s="47">
        <v>0</v>
      </c>
      <c r="G12" s="52">
        <f>30633564/0.644</f>
        <v>47567645.962732919</v>
      </c>
      <c r="H12" s="47"/>
      <c r="I12" s="52">
        <f>29302323/0.675</f>
        <v>43410848.888888888</v>
      </c>
      <c r="J12" s="47"/>
      <c r="K12" s="52">
        <f>35507753/0.817</f>
        <v>43461141.982864141</v>
      </c>
      <c r="L12" s="47"/>
    </row>
    <row r="13" spans="1:13" ht="36.75" customHeight="1" x14ac:dyDescent="0.25">
      <c r="A13" s="48" t="s">
        <v>16</v>
      </c>
      <c r="B13" s="30" t="s">
        <v>31</v>
      </c>
      <c r="C13" s="52"/>
      <c r="D13" s="43"/>
      <c r="E13" s="18"/>
      <c r="F13" s="43"/>
      <c r="G13" s="18"/>
      <c r="H13" s="43"/>
      <c r="I13" s="18"/>
      <c r="J13" s="43"/>
      <c r="K13" s="18"/>
      <c r="L13" s="43"/>
    </row>
    <row r="14" spans="1:13" ht="7.5" customHeight="1" x14ac:dyDescent="0.25">
      <c r="A14" s="29"/>
      <c r="B14" s="3"/>
    </row>
    <row r="15" spans="1:13" x14ac:dyDescent="0.25">
      <c r="A15" s="509" t="s">
        <v>1</v>
      </c>
      <c r="B15" s="510"/>
      <c r="C15" s="10"/>
      <c r="D15" s="8"/>
      <c r="E15" s="7"/>
      <c r="F15" s="8"/>
      <c r="G15" s="7"/>
      <c r="H15" s="8"/>
      <c r="I15" s="7"/>
      <c r="J15" s="8"/>
      <c r="K15" s="7"/>
      <c r="L15" s="9"/>
    </row>
    <row r="16" spans="1:13" ht="33" customHeight="1" x14ac:dyDescent="0.25">
      <c r="A16" s="40">
        <v>2</v>
      </c>
      <c r="B16" s="31" t="s">
        <v>5</v>
      </c>
      <c r="C16" s="52">
        <f>+'IMO Support'!H14</f>
        <v>974812</v>
      </c>
      <c r="D16" s="47"/>
      <c r="E16" s="52">
        <f>+'IMO Support'!I14</f>
        <v>1115698</v>
      </c>
      <c r="F16" s="47"/>
      <c r="G16" s="52">
        <f>+'IMO Support'!J14</f>
        <v>1211732</v>
      </c>
      <c r="H16" s="47"/>
      <c r="I16" s="52">
        <f>+'IMO Support'!K14</f>
        <v>1174389</v>
      </c>
      <c r="J16" s="47"/>
      <c r="K16" s="52">
        <f>+'IMO Support'!L14</f>
        <v>9522038</v>
      </c>
      <c r="L16" s="47"/>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52">
        <f>+C16</f>
        <v>974812</v>
      </c>
      <c r="D18" s="47">
        <v>0</v>
      </c>
      <c r="E18" s="52">
        <f>+E16+C18</f>
        <v>2090510</v>
      </c>
      <c r="F18" s="47">
        <v>0</v>
      </c>
      <c r="G18" s="52">
        <f>+G16+E18</f>
        <v>3302242</v>
      </c>
      <c r="H18" s="47"/>
      <c r="I18" s="52">
        <f>+I16+G18</f>
        <v>4476631</v>
      </c>
      <c r="J18" s="47"/>
      <c r="K18" s="52">
        <f>+K16+I18</f>
        <v>13998669</v>
      </c>
      <c r="L18" s="47"/>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v>0</v>
      </c>
      <c r="D21" s="12"/>
      <c r="E21" s="20">
        <v>0</v>
      </c>
      <c r="F21" s="12"/>
      <c r="G21" s="20">
        <v>0</v>
      </c>
      <c r="H21" s="12"/>
      <c r="I21" s="20">
        <v>0</v>
      </c>
      <c r="J21" s="12"/>
      <c r="K21" s="20">
        <v>0</v>
      </c>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c r="D25" s="23"/>
      <c r="E25" s="16"/>
      <c r="F25" s="23"/>
      <c r="G25" s="16"/>
      <c r="H25" s="23"/>
      <c r="I25" s="16"/>
      <c r="J25" s="23"/>
      <c r="K25" s="16"/>
      <c r="L25" s="11"/>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v>0</v>
      </c>
      <c r="D27" s="25">
        <v>0</v>
      </c>
      <c r="E27" s="21">
        <v>0</v>
      </c>
      <c r="F27" s="25">
        <v>0</v>
      </c>
      <c r="G27" s="21">
        <v>0</v>
      </c>
      <c r="H27" s="25">
        <v>0</v>
      </c>
      <c r="I27" s="21">
        <v>0</v>
      </c>
      <c r="J27" s="25">
        <v>0</v>
      </c>
      <c r="K27" s="21">
        <v>0</v>
      </c>
      <c r="L27" s="5">
        <v>0</v>
      </c>
    </row>
    <row r="28" spans="1:12" ht="48" customHeight="1" x14ac:dyDescent="0.25">
      <c r="A28" s="49" t="s">
        <v>20</v>
      </c>
      <c r="B28" s="34" t="s">
        <v>42</v>
      </c>
      <c r="C28" s="22">
        <v>0</v>
      </c>
      <c r="D28" s="26">
        <v>0</v>
      </c>
      <c r="E28" s="22">
        <v>0</v>
      </c>
      <c r="F28" s="26">
        <v>0</v>
      </c>
      <c r="G28" s="22">
        <v>0</v>
      </c>
      <c r="H28" s="26">
        <v>0</v>
      </c>
      <c r="I28" s="22">
        <v>0</v>
      </c>
      <c r="J28" s="26">
        <v>0</v>
      </c>
      <c r="K28" s="22">
        <v>0</v>
      </c>
      <c r="L28" s="27">
        <v>0</v>
      </c>
    </row>
    <row r="29" spans="1:12" ht="36" customHeight="1" x14ac:dyDescent="0.25">
      <c r="A29" s="49" t="s">
        <v>21</v>
      </c>
      <c r="B29" s="34" t="s">
        <v>34</v>
      </c>
      <c r="C29" s="22">
        <v>0</v>
      </c>
      <c r="D29" s="26">
        <v>0</v>
      </c>
      <c r="E29" s="22">
        <v>0</v>
      </c>
      <c r="F29" s="26">
        <v>0</v>
      </c>
      <c r="G29" s="22">
        <v>0</v>
      </c>
      <c r="H29" s="26">
        <v>0</v>
      </c>
      <c r="I29" s="22">
        <v>0</v>
      </c>
      <c r="J29" s="26">
        <v>0</v>
      </c>
      <c r="K29" s="22">
        <v>0</v>
      </c>
      <c r="L29" s="27">
        <v>0</v>
      </c>
    </row>
    <row r="30" spans="1:12" ht="179.25" customHeight="1" x14ac:dyDescent="0.25">
      <c r="A30" s="48" t="s">
        <v>22</v>
      </c>
      <c r="B30" s="35" t="s">
        <v>15</v>
      </c>
      <c r="C30" s="504" t="s">
        <v>46</v>
      </c>
      <c r="D30" s="505"/>
      <c r="E30" s="505"/>
      <c r="F30" s="505"/>
      <c r="G30" s="505"/>
      <c r="H30" s="505"/>
      <c r="I30" s="505"/>
      <c r="J30" s="505"/>
      <c r="K30" s="505"/>
      <c r="L30" s="506"/>
    </row>
    <row r="31" spans="1:12" ht="18" customHeight="1" x14ac:dyDescent="0.25">
      <c r="A31" s="40">
        <v>6</v>
      </c>
      <c r="B31" s="33" t="s">
        <v>14</v>
      </c>
      <c r="C31" s="28"/>
      <c r="D31" s="23"/>
      <c r="E31" s="16"/>
      <c r="F31" s="23"/>
      <c r="G31" s="16"/>
      <c r="H31" s="23"/>
      <c r="I31" s="16"/>
      <c r="J31" s="23"/>
      <c r="K31" s="52"/>
      <c r="L31" s="23"/>
    </row>
    <row r="32" spans="1:12" ht="59.25" customHeight="1" x14ac:dyDescent="0.25">
      <c r="A32" s="48" t="s">
        <v>23</v>
      </c>
      <c r="B32" s="46" t="s">
        <v>39</v>
      </c>
      <c r="C32" s="504" t="s">
        <v>47</v>
      </c>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496"/>
      <c r="D35" s="495"/>
      <c r="E35" s="494">
        <f>+'IMO Support'!I24</f>
        <v>29096</v>
      </c>
      <c r="F35" s="495"/>
      <c r="G35" s="494"/>
      <c r="H35" s="495"/>
      <c r="I35" s="494">
        <f>+'IMO Support'!K24</f>
        <v>29300</v>
      </c>
      <c r="J35" s="495"/>
      <c r="K35" s="494">
        <f>+'IMO Support'!L24</f>
        <v>5726</v>
      </c>
      <c r="L35" s="495"/>
    </row>
    <row r="36" spans="1:13" x14ac:dyDescent="0.25">
      <c r="A36" s="39">
        <v>8</v>
      </c>
      <c r="B36" s="36" t="s">
        <v>4</v>
      </c>
      <c r="C36" s="488" t="s">
        <v>63</v>
      </c>
      <c r="D36" s="489"/>
      <c r="E36" s="488" t="s">
        <v>63</v>
      </c>
      <c r="F36" s="489"/>
      <c r="G36" s="488" t="s">
        <v>63</v>
      </c>
      <c r="H36" s="489"/>
      <c r="I36" s="54" t="s">
        <v>63</v>
      </c>
      <c r="J36" s="53"/>
      <c r="K36" s="54" t="s">
        <v>63</v>
      </c>
      <c r="L36" s="53"/>
    </row>
    <row r="37" spans="1:13" ht="52.5" customHeight="1" thickBot="1" x14ac:dyDescent="0.3">
      <c r="A37" s="38">
        <v>9</v>
      </c>
      <c r="B37" s="37" t="s">
        <v>44</v>
      </c>
      <c r="C37" s="486" t="s">
        <v>62</v>
      </c>
      <c r="D37" s="487"/>
      <c r="E37" s="490" t="s">
        <v>61</v>
      </c>
      <c r="F37" s="487"/>
      <c r="G37" s="490" t="s">
        <v>62</v>
      </c>
      <c r="H37" s="487"/>
      <c r="I37" s="490" t="s">
        <v>61</v>
      </c>
      <c r="J37" s="487"/>
      <c r="K37" s="492" t="s">
        <v>60</v>
      </c>
      <c r="L37" s="493"/>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3">
    <mergeCell ref="A8:A9"/>
    <mergeCell ref="A34:B34"/>
    <mergeCell ref="A24:B24"/>
    <mergeCell ref="A15:B15"/>
    <mergeCell ref="A11:B11"/>
    <mergeCell ref="B8:B9"/>
    <mergeCell ref="I35:J35"/>
    <mergeCell ref="C35:D35"/>
    <mergeCell ref="B1:L1"/>
    <mergeCell ref="B2:L2"/>
    <mergeCell ref="B4:L4"/>
    <mergeCell ref="C6:L6"/>
    <mergeCell ref="C8:D8"/>
    <mergeCell ref="E8:F8"/>
    <mergeCell ref="G8:H8"/>
    <mergeCell ref="I8:J8"/>
    <mergeCell ref="K8:L8"/>
    <mergeCell ref="C30:L30"/>
    <mergeCell ref="C32:L32"/>
    <mergeCell ref="G35:H35"/>
    <mergeCell ref="E35:F35"/>
    <mergeCell ref="K35:L35"/>
    <mergeCell ref="B39:L39"/>
    <mergeCell ref="B40:L40"/>
    <mergeCell ref="C37:D37"/>
    <mergeCell ref="C36:D36"/>
    <mergeCell ref="G37:H37"/>
    <mergeCell ref="G36:H36"/>
    <mergeCell ref="B38:L38"/>
    <mergeCell ref="E37:F37"/>
    <mergeCell ref="E36:F36"/>
    <mergeCell ref="K37:L37"/>
    <mergeCell ref="I37:J37"/>
  </mergeCells>
  <pageMargins left="0.7" right="0.7" top="0.75" bottom="0.75" header="0.3" footer="0.3"/>
  <pageSetup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85" zoomScaleNormal="85" workbookViewId="0">
      <selection activeCell="O28" sqref="O28"/>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 min="13" max="13" width="5.5703125" style="194" customWidth="1"/>
    <col min="14" max="14" width="46.28515625" customWidth="1"/>
    <col min="15" max="15" width="11.7109375" customWidth="1"/>
    <col min="16" max="16" width="12.140625" customWidth="1"/>
    <col min="17" max="19" width="10.5703125" customWidth="1"/>
  </cols>
  <sheetData>
    <row r="1" spans="1:19" x14ac:dyDescent="0.25">
      <c r="B1" s="497" t="s">
        <v>9</v>
      </c>
      <c r="C1" s="497"/>
      <c r="D1" s="497"/>
      <c r="E1" s="497"/>
      <c r="F1" s="497"/>
      <c r="G1" s="497"/>
      <c r="H1" s="497"/>
      <c r="I1" s="497"/>
      <c r="J1" s="497"/>
      <c r="K1" s="497"/>
      <c r="L1" s="497"/>
      <c r="M1" s="190"/>
    </row>
    <row r="2" spans="1:19" x14ac:dyDescent="0.25">
      <c r="B2" s="497" t="s">
        <v>10</v>
      </c>
      <c r="C2" s="497"/>
      <c r="D2" s="497"/>
      <c r="E2" s="497"/>
      <c r="F2" s="497"/>
      <c r="G2" s="497"/>
      <c r="H2" s="497"/>
      <c r="I2" s="497"/>
      <c r="J2" s="497"/>
      <c r="K2" s="497"/>
      <c r="L2" s="497"/>
      <c r="M2" s="190"/>
    </row>
    <row r="3" spans="1:19" ht="8.25" customHeight="1" x14ac:dyDescent="0.25">
      <c r="B3" s="1"/>
      <c r="C3" s="1"/>
      <c r="D3" s="1"/>
      <c r="E3" s="1"/>
      <c r="F3" s="1"/>
      <c r="G3" s="1"/>
      <c r="H3" s="1"/>
      <c r="I3" s="1"/>
      <c r="J3" s="1"/>
      <c r="K3" s="1"/>
      <c r="L3" s="1"/>
      <c r="M3" s="191"/>
    </row>
    <row r="4" spans="1:19" x14ac:dyDescent="0.25">
      <c r="B4" s="498" t="s">
        <v>36</v>
      </c>
      <c r="C4" s="498"/>
      <c r="D4" s="498"/>
      <c r="E4" s="498"/>
      <c r="F4" s="498"/>
      <c r="G4" s="498"/>
      <c r="H4" s="498"/>
      <c r="I4" s="498"/>
      <c r="J4" s="498"/>
      <c r="K4" s="498"/>
      <c r="L4" s="498"/>
      <c r="M4" s="64"/>
    </row>
    <row r="5" spans="1:19" x14ac:dyDescent="0.25">
      <c r="B5" s="13"/>
      <c r="C5" s="13"/>
      <c r="D5" s="13"/>
      <c r="E5" s="13"/>
      <c r="F5" s="13"/>
      <c r="G5" s="13"/>
      <c r="H5" s="13"/>
      <c r="I5" s="13"/>
      <c r="J5" s="13"/>
      <c r="K5" s="13"/>
      <c r="L5" s="13"/>
      <c r="M5" s="192"/>
    </row>
    <row r="6" spans="1:19" x14ac:dyDescent="0.25">
      <c r="B6" s="15" t="s">
        <v>11</v>
      </c>
      <c r="C6" s="499" t="s">
        <v>121</v>
      </c>
      <c r="D6" s="499"/>
      <c r="E6" s="499"/>
      <c r="F6" s="499"/>
      <c r="G6" s="499"/>
      <c r="H6" s="499"/>
      <c r="I6" s="499"/>
      <c r="J6" s="499"/>
      <c r="K6" s="499"/>
      <c r="L6" s="500"/>
      <c r="M6" s="193"/>
    </row>
    <row r="7" spans="1:19" ht="15.75" thickBot="1" x14ac:dyDescent="0.3"/>
    <row r="8" spans="1:19" x14ac:dyDescent="0.25">
      <c r="A8" s="507" t="s">
        <v>24</v>
      </c>
      <c r="B8" s="513" t="s">
        <v>8</v>
      </c>
      <c r="C8" s="501">
        <v>2012</v>
      </c>
      <c r="D8" s="502"/>
      <c r="E8" s="503">
        <v>2013</v>
      </c>
      <c r="F8" s="502"/>
      <c r="G8" s="503">
        <v>2014</v>
      </c>
      <c r="H8" s="502"/>
      <c r="I8" s="503">
        <v>2015</v>
      </c>
      <c r="J8" s="502"/>
      <c r="K8" s="501">
        <v>2016</v>
      </c>
      <c r="L8" s="502"/>
      <c r="M8" s="195"/>
    </row>
    <row r="9" spans="1:19" ht="95.25" customHeight="1" thickBot="1" x14ac:dyDescent="0.3">
      <c r="A9" s="508"/>
      <c r="B9" s="514"/>
      <c r="C9" s="14" t="s">
        <v>32</v>
      </c>
      <c r="D9" s="4" t="s">
        <v>27</v>
      </c>
      <c r="E9" s="14" t="s">
        <v>32</v>
      </c>
      <c r="F9" s="4" t="s">
        <v>27</v>
      </c>
      <c r="G9" s="14" t="s">
        <v>32</v>
      </c>
      <c r="H9" s="4" t="s">
        <v>27</v>
      </c>
      <c r="I9" s="14" t="s">
        <v>32</v>
      </c>
      <c r="J9" s="4" t="s">
        <v>27</v>
      </c>
      <c r="K9" s="14" t="s">
        <v>32</v>
      </c>
      <c r="L9" s="4" t="s">
        <v>27</v>
      </c>
      <c r="M9" s="196"/>
      <c r="P9" s="559" t="s">
        <v>116</v>
      </c>
      <c r="Q9" s="560"/>
      <c r="R9" s="560"/>
      <c r="S9" s="561"/>
    </row>
    <row r="10" spans="1:19" ht="7.5" customHeight="1" x14ac:dyDescent="0.25">
      <c r="C10" s="2"/>
      <c r="D10" s="2"/>
      <c r="E10" s="2"/>
      <c r="F10" s="2"/>
      <c r="G10" s="2"/>
      <c r="H10" s="2"/>
      <c r="I10" s="2"/>
      <c r="J10" s="2"/>
      <c r="K10" s="2"/>
      <c r="L10" s="2"/>
      <c r="M10" s="197"/>
    </row>
    <row r="11" spans="1:19" x14ac:dyDescent="0.25">
      <c r="A11" s="562" t="s">
        <v>7</v>
      </c>
      <c r="B11" s="512"/>
      <c r="C11" s="10"/>
      <c r="D11" s="8"/>
      <c r="E11" s="7"/>
      <c r="F11" s="8"/>
      <c r="G11" s="7"/>
      <c r="H11" s="8"/>
      <c r="I11" s="7"/>
      <c r="J11" s="8"/>
      <c r="K11" s="7"/>
      <c r="L11" s="9"/>
      <c r="M11" s="198"/>
      <c r="N11" s="199"/>
      <c r="O11" s="199">
        <v>2012</v>
      </c>
      <c r="P11" s="199">
        <v>2013</v>
      </c>
      <c r="Q11" s="199">
        <v>2014</v>
      </c>
      <c r="R11" s="199">
        <v>2015</v>
      </c>
      <c r="S11" s="199">
        <v>2016</v>
      </c>
    </row>
    <row r="12" spans="1:19" ht="35.25" customHeight="1" x14ac:dyDescent="0.25">
      <c r="A12" s="200">
        <v>1</v>
      </c>
      <c r="B12" s="31" t="s">
        <v>6</v>
      </c>
      <c r="C12" s="16"/>
      <c r="D12" s="201">
        <v>7466000</v>
      </c>
      <c r="E12" s="65"/>
      <c r="F12" s="201">
        <v>9560000</v>
      </c>
      <c r="G12" s="65"/>
      <c r="H12" s="201">
        <v>15299000</v>
      </c>
      <c r="I12" s="65"/>
      <c r="J12" s="201">
        <v>12773000</v>
      </c>
      <c r="K12" s="65"/>
      <c r="L12" s="202">
        <v>13253000</v>
      </c>
      <c r="M12" s="203"/>
      <c r="N12" s="199" t="s">
        <v>117</v>
      </c>
      <c r="O12" s="204">
        <v>7466</v>
      </c>
      <c r="P12" s="204">
        <v>9560</v>
      </c>
      <c r="Q12" s="204">
        <v>15299</v>
      </c>
      <c r="R12" s="204">
        <v>12773</v>
      </c>
      <c r="S12" s="204">
        <v>13253</v>
      </c>
    </row>
    <row r="13" spans="1:19" ht="36.75" customHeight="1" x14ac:dyDescent="0.25">
      <c r="A13" s="205" t="s">
        <v>16</v>
      </c>
      <c r="B13" s="30" t="s">
        <v>31</v>
      </c>
      <c r="C13" s="17"/>
      <c r="D13" s="43"/>
      <c r="E13" s="18"/>
      <c r="F13" s="43"/>
      <c r="G13" s="18"/>
      <c r="H13" s="43"/>
      <c r="I13" s="18"/>
      <c r="J13" s="43"/>
      <c r="K13" s="18"/>
      <c r="L13" s="206"/>
      <c r="M13" s="198"/>
      <c r="N13" s="199" t="s">
        <v>118</v>
      </c>
      <c r="O13" s="204">
        <v>3052</v>
      </c>
      <c r="P13" s="204">
        <v>4662</v>
      </c>
      <c r="Q13" s="204">
        <v>7460</v>
      </c>
      <c r="R13" s="204">
        <v>6323</v>
      </c>
      <c r="S13" s="204">
        <v>6561</v>
      </c>
    </row>
    <row r="14" spans="1:19" ht="7.5" customHeight="1" x14ac:dyDescent="0.25">
      <c r="A14" s="29"/>
      <c r="B14" s="3"/>
      <c r="M14" s="198"/>
      <c r="N14" s="199"/>
      <c r="O14" s="204"/>
      <c r="P14" s="204"/>
      <c r="Q14" s="204"/>
      <c r="R14" s="204"/>
      <c r="S14" s="204"/>
    </row>
    <row r="15" spans="1:19" x14ac:dyDescent="0.25">
      <c r="A15" s="509" t="s">
        <v>1</v>
      </c>
      <c r="B15" s="510"/>
      <c r="C15" s="10"/>
      <c r="D15" s="8"/>
      <c r="E15" s="7"/>
      <c r="F15" s="8"/>
      <c r="G15" s="7"/>
      <c r="H15" s="8"/>
      <c r="I15" s="7"/>
      <c r="J15" s="8"/>
      <c r="K15" s="7"/>
      <c r="L15" s="10"/>
      <c r="M15" s="198"/>
      <c r="N15" s="199" t="s">
        <v>119</v>
      </c>
      <c r="O15" s="204">
        <v>4414</v>
      </c>
      <c r="P15" s="204">
        <f>P12-P13</f>
        <v>4898</v>
      </c>
      <c r="Q15" s="204">
        <v>7839</v>
      </c>
      <c r="R15" s="204">
        <v>6450</v>
      </c>
      <c r="S15" s="204">
        <f>S12-S13</f>
        <v>6692</v>
      </c>
    </row>
    <row r="16" spans="1:19" ht="33" customHeight="1" x14ac:dyDescent="0.25">
      <c r="A16" s="40">
        <v>2</v>
      </c>
      <c r="B16" s="31" t="s">
        <v>5</v>
      </c>
      <c r="C16" s="16"/>
      <c r="D16" s="11" t="s">
        <v>96</v>
      </c>
      <c r="E16" s="65"/>
      <c r="F16" s="11" t="s">
        <v>96</v>
      </c>
      <c r="G16" s="65"/>
      <c r="H16" s="11" t="s">
        <v>96</v>
      </c>
      <c r="I16" s="65"/>
      <c r="J16" s="11" t="s">
        <v>96</v>
      </c>
      <c r="K16" s="65"/>
      <c r="L16" s="207">
        <v>51000</v>
      </c>
      <c r="M16" s="203"/>
    </row>
    <row r="17" spans="1:13" ht="36" customHeight="1" x14ac:dyDescent="0.25">
      <c r="A17" s="48" t="s">
        <v>17</v>
      </c>
      <c r="B17" s="30" t="s">
        <v>30</v>
      </c>
      <c r="C17" s="17"/>
      <c r="D17" s="6"/>
      <c r="E17" s="18"/>
      <c r="F17" s="6"/>
      <c r="G17" s="18"/>
      <c r="H17" s="6"/>
      <c r="I17" s="18"/>
      <c r="J17" s="208">
        <v>0.01</v>
      </c>
      <c r="K17" s="18"/>
      <c r="L17" s="208">
        <v>0.01</v>
      </c>
      <c r="M17" s="209"/>
    </row>
    <row r="18" spans="1:13" ht="18" customHeight="1" x14ac:dyDescent="0.25">
      <c r="A18" s="40">
        <v>3</v>
      </c>
      <c r="B18" s="31" t="s">
        <v>12</v>
      </c>
      <c r="C18" s="19"/>
      <c r="D18" s="12"/>
      <c r="E18" s="20"/>
      <c r="F18" s="12"/>
      <c r="G18" s="20"/>
      <c r="H18" s="12"/>
      <c r="I18" s="20"/>
      <c r="J18" s="210">
        <v>25000</v>
      </c>
      <c r="K18" s="20"/>
      <c r="L18" s="210">
        <v>76000</v>
      </c>
      <c r="M18" s="203"/>
    </row>
    <row r="19" spans="1:13" ht="36" customHeight="1" x14ac:dyDescent="0.25">
      <c r="A19" s="49" t="s">
        <v>37</v>
      </c>
      <c r="B19" s="32" t="s">
        <v>35</v>
      </c>
      <c r="C19" s="19"/>
      <c r="D19" s="12"/>
      <c r="E19" s="20"/>
      <c r="F19" s="12"/>
      <c r="G19" s="20"/>
      <c r="H19" s="12"/>
      <c r="I19" s="20"/>
      <c r="J19" s="12"/>
      <c r="K19" s="20"/>
      <c r="L19" s="12"/>
      <c r="M19" s="198"/>
    </row>
    <row r="20" spans="1:13" ht="18" customHeight="1" x14ac:dyDescent="0.25">
      <c r="A20" s="50" t="s">
        <v>41</v>
      </c>
      <c r="B20" s="32" t="s">
        <v>26</v>
      </c>
      <c r="C20" s="19"/>
      <c r="D20" s="12"/>
      <c r="E20" s="20"/>
      <c r="F20" s="12"/>
      <c r="G20" s="20"/>
      <c r="H20" s="12"/>
      <c r="I20" s="20"/>
      <c r="J20" s="12"/>
      <c r="K20" s="20"/>
      <c r="L20" s="12"/>
      <c r="M20" s="198"/>
    </row>
    <row r="21" spans="1:13" ht="33" customHeight="1" x14ac:dyDescent="0.25">
      <c r="A21" s="50" t="s">
        <v>18</v>
      </c>
      <c r="B21" s="32" t="s">
        <v>28</v>
      </c>
      <c r="C21" s="19"/>
      <c r="D21" s="12"/>
      <c r="E21" s="20"/>
      <c r="F21" s="12"/>
      <c r="G21" s="20"/>
      <c r="H21" s="12"/>
      <c r="I21" s="20"/>
      <c r="J21" s="12"/>
      <c r="K21" s="20"/>
      <c r="L21" s="12"/>
      <c r="M21" s="198"/>
    </row>
    <row r="22" spans="1:13" ht="18.75" customHeight="1" x14ac:dyDescent="0.25">
      <c r="A22" s="51" t="s">
        <v>25</v>
      </c>
      <c r="B22" s="30" t="s">
        <v>29</v>
      </c>
      <c r="C22" s="17"/>
      <c r="D22" s="6"/>
      <c r="E22" s="18"/>
      <c r="F22" s="6"/>
      <c r="G22" s="18"/>
      <c r="H22" s="6"/>
      <c r="I22" s="18"/>
      <c r="J22" s="6"/>
      <c r="K22" s="18"/>
      <c r="L22" s="6"/>
      <c r="M22" s="198"/>
    </row>
    <row r="23" spans="1:13" ht="7.5" customHeight="1" x14ac:dyDescent="0.25">
      <c r="A23" s="29"/>
      <c r="B23" s="3"/>
    </row>
    <row r="24" spans="1:13" x14ac:dyDescent="0.25">
      <c r="A24" s="509" t="s">
        <v>13</v>
      </c>
      <c r="B24" s="510"/>
      <c r="C24" s="10"/>
      <c r="D24" s="10"/>
      <c r="E24" s="10"/>
      <c r="F24" s="10"/>
      <c r="G24" s="10"/>
      <c r="H24" s="10"/>
      <c r="I24" s="10"/>
      <c r="J24" s="10"/>
      <c r="K24" s="10"/>
      <c r="L24" s="8"/>
      <c r="M24" s="198"/>
    </row>
    <row r="25" spans="1:13" ht="19.5" customHeight="1" x14ac:dyDescent="0.25">
      <c r="A25" s="40">
        <v>4</v>
      </c>
      <c r="B25" s="44" t="s">
        <v>40</v>
      </c>
      <c r="C25" s="16"/>
      <c r="D25" s="23"/>
      <c r="E25" s="16"/>
      <c r="F25" s="23"/>
      <c r="G25" s="16"/>
      <c r="H25" s="23"/>
      <c r="I25" s="16"/>
      <c r="J25" s="211">
        <v>25000</v>
      </c>
      <c r="K25" s="16"/>
      <c r="L25" s="207">
        <v>51000</v>
      </c>
      <c r="M25" s="203"/>
    </row>
    <row r="26" spans="1:13" ht="19.5" customHeight="1" x14ac:dyDescent="0.25">
      <c r="A26" s="48" t="s">
        <v>19</v>
      </c>
      <c r="B26" s="30" t="s">
        <v>0</v>
      </c>
      <c r="C26" s="17"/>
      <c r="D26" s="24"/>
      <c r="E26" s="17"/>
      <c r="F26" s="24"/>
      <c r="G26" s="17"/>
      <c r="H26" s="24"/>
      <c r="I26" s="17"/>
      <c r="J26" s="212">
        <v>0.01</v>
      </c>
      <c r="K26" s="17"/>
      <c r="L26" s="208">
        <v>0.01</v>
      </c>
      <c r="M26" s="209"/>
    </row>
    <row r="27" spans="1:13" ht="39.75" customHeight="1" x14ac:dyDescent="0.25">
      <c r="A27" s="40">
        <v>5</v>
      </c>
      <c r="B27" s="45" t="s">
        <v>38</v>
      </c>
      <c r="C27" s="21"/>
      <c r="D27" s="25"/>
      <c r="E27" s="21"/>
      <c r="F27" s="25"/>
      <c r="G27" s="21"/>
      <c r="H27" s="25"/>
      <c r="I27" s="21"/>
      <c r="J27" s="25"/>
      <c r="K27" s="21"/>
      <c r="L27" s="5"/>
      <c r="M27" s="198"/>
    </row>
    <row r="28" spans="1:13" ht="48" customHeight="1" x14ac:dyDescent="0.25">
      <c r="A28" s="49" t="s">
        <v>20</v>
      </c>
      <c r="B28" s="34" t="s">
        <v>42</v>
      </c>
      <c r="C28" s="22"/>
      <c r="D28" s="26"/>
      <c r="E28" s="22"/>
      <c r="F28" s="26"/>
      <c r="G28" s="22"/>
      <c r="H28" s="26"/>
      <c r="I28" s="22"/>
      <c r="J28" s="26"/>
      <c r="K28" s="22"/>
      <c r="L28" s="27"/>
      <c r="M28" s="198"/>
    </row>
    <row r="29" spans="1:13" ht="36" customHeight="1" x14ac:dyDescent="0.25">
      <c r="A29" s="49" t="s">
        <v>21</v>
      </c>
      <c r="B29" s="34" t="s">
        <v>34</v>
      </c>
      <c r="C29" s="22"/>
      <c r="D29" s="26"/>
      <c r="E29" s="22"/>
      <c r="F29" s="26"/>
      <c r="G29" s="22"/>
      <c r="H29" s="26"/>
      <c r="I29" s="22"/>
      <c r="J29" s="26"/>
      <c r="K29" s="22"/>
      <c r="L29" s="27"/>
      <c r="M29" s="198"/>
    </row>
    <row r="30" spans="1:13" ht="66" customHeight="1" x14ac:dyDescent="0.25">
      <c r="A30" s="48" t="s">
        <v>22</v>
      </c>
      <c r="B30" s="35" t="s">
        <v>15</v>
      </c>
      <c r="C30" s="522" t="s">
        <v>120</v>
      </c>
      <c r="D30" s="505"/>
      <c r="E30" s="505"/>
      <c r="F30" s="505"/>
      <c r="G30" s="505"/>
      <c r="H30" s="505"/>
      <c r="I30" s="505"/>
      <c r="J30" s="505"/>
      <c r="K30" s="505"/>
      <c r="L30" s="506"/>
      <c r="M30" s="213"/>
    </row>
    <row r="31" spans="1:13" ht="18" customHeight="1" x14ac:dyDescent="0.25">
      <c r="A31" s="40">
        <v>6</v>
      </c>
      <c r="B31" s="33" t="s">
        <v>14</v>
      </c>
      <c r="C31" s="28"/>
      <c r="D31" s="23"/>
      <c r="E31" s="16"/>
      <c r="F31" s="23"/>
      <c r="G31" s="16"/>
      <c r="H31" s="23"/>
      <c r="I31" s="16"/>
      <c r="J31" s="23"/>
      <c r="K31" s="16"/>
      <c r="L31" s="23"/>
      <c r="M31" s="198"/>
    </row>
    <row r="32" spans="1:13" ht="33.75" customHeight="1" x14ac:dyDescent="0.25">
      <c r="A32" s="48" t="s">
        <v>23</v>
      </c>
      <c r="B32" s="46" t="s">
        <v>39</v>
      </c>
      <c r="C32" s="522" t="s">
        <v>120</v>
      </c>
      <c r="D32" s="505"/>
      <c r="E32" s="505"/>
      <c r="F32" s="505"/>
      <c r="G32" s="505"/>
      <c r="H32" s="505"/>
      <c r="I32" s="505"/>
      <c r="J32" s="505"/>
      <c r="K32" s="505"/>
      <c r="L32" s="506"/>
      <c r="M32" s="213"/>
    </row>
    <row r="33" spans="1:13" ht="7.5" customHeight="1" x14ac:dyDescent="0.25">
      <c r="A33" s="29"/>
      <c r="B33" s="3"/>
    </row>
    <row r="34" spans="1:13" ht="15" customHeight="1" x14ac:dyDescent="0.25">
      <c r="A34" s="509" t="s">
        <v>2</v>
      </c>
      <c r="B34" s="510"/>
      <c r="C34" s="10"/>
      <c r="D34" s="8"/>
      <c r="E34" s="7"/>
      <c r="F34" s="8"/>
      <c r="G34" s="7"/>
      <c r="H34" s="8"/>
      <c r="I34" s="7"/>
      <c r="J34" s="8"/>
      <c r="K34" s="7"/>
      <c r="L34" s="8"/>
      <c r="M34" s="198"/>
    </row>
    <row r="35" spans="1:13" x14ac:dyDescent="0.25">
      <c r="A35" s="39">
        <v>7</v>
      </c>
      <c r="B35" s="33" t="s">
        <v>3</v>
      </c>
      <c r="C35" s="526"/>
      <c r="D35" s="521"/>
      <c r="E35" s="520"/>
      <c r="F35" s="521"/>
      <c r="G35" s="520"/>
      <c r="H35" s="521"/>
      <c r="I35" s="520"/>
      <c r="J35" s="521"/>
      <c r="K35" s="520"/>
      <c r="L35" s="521"/>
      <c r="M35" s="214"/>
    </row>
    <row r="36" spans="1:13" x14ac:dyDescent="0.25">
      <c r="A36" s="39">
        <v>8</v>
      </c>
      <c r="B36" s="36" t="s">
        <v>4</v>
      </c>
      <c r="C36" s="536"/>
      <c r="D36" s="489"/>
      <c r="E36" s="488"/>
      <c r="F36" s="489"/>
      <c r="G36" s="488"/>
      <c r="H36" s="489"/>
      <c r="I36" s="488"/>
      <c r="J36" s="489"/>
      <c r="K36" s="488"/>
      <c r="L36" s="489"/>
      <c r="M36" s="214"/>
    </row>
    <row r="37" spans="1:13" ht="15.75" thickBot="1" x14ac:dyDescent="0.3">
      <c r="A37" s="63">
        <v>9</v>
      </c>
      <c r="B37" s="37" t="s">
        <v>44</v>
      </c>
      <c r="C37" s="486"/>
      <c r="D37" s="487"/>
      <c r="E37" s="490"/>
      <c r="F37" s="487"/>
      <c r="G37" s="490"/>
      <c r="H37" s="487"/>
      <c r="I37" s="490" t="s">
        <v>114</v>
      </c>
      <c r="J37" s="487"/>
      <c r="K37" s="490" t="s">
        <v>115</v>
      </c>
      <c r="L37" s="487"/>
      <c r="M37" s="214"/>
    </row>
    <row r="38" spans="1:13" ht="14.25" customHeight="1" x14ac:dyDescent="0.25">
      <c r="A38" s="41"/>
      <c r="B38" s="491"/>
      <c r="C38" s="491"/>
      <c r="D38" s="491"/>
      <c r="E38" s="491"/>
      <c r="F38" s="491"/>
      <c r="G38" s="491"/>
      <c r="H38" s="491"/>
      <c r="I38" s="491"/>
      <c r="J38" s="491"/>
      <c r="K38" s="491"/>
      <c r="L38" s="491"/>
      <c r="M38" s="215"/>
    </row>
    <row r="39" spans="1:13" ht="18" customHeight="1" x14ac:dyDescent="0.25">
      <c r="B39" s="484" t="s">
        <v>33</v>
      </c>
      <c r="C39" s="484"/>
      <c r="D39" s="484"/>
      <c r="E39" s="484"/>
      <c r="F39" s="484"/>
      <c r="G39" s="484"/>
      <c r="H39" s="484"/>
      <c r="I39" s="484"/>
      <c r="J39" s="484"/>
      <c r="K39" s="484"/>
      <c r="L39" s="484"/>
      <c r="M39" s="216"/>
    </row>
    <row r="40" spans="1:13" ht="30.75" customHeight="1" x14ac:dyDescent="0.25">
      <c r="B40" s="485" t="s">
        <v>43</v>
      </c>
      <c r="C40" s="485"/>
      <c r="D40" s="485"/>
      <c r="E40" s="485"/>
      <c r="F40" s="485"/>
      <c r="G40" s="485"/>
      <c r="H40" s="485"/>
      <c r="I40" s="485"/>
      <c r="J40" s="485"/>
      <c r="K40" s="485"/>
      <c r="L40" s="485"/>
      <c r="M40" s="217"/>
    </row>
    <row r="41" spans="1:13" x14ac:dyDescent="0.25">
      <c r="B41" s="3"/>
    </row>
    <row r="42" spans="1:13" x14ac:dyDescent="0.25">
      <c r="B42" s="3"/>
    </row>
    <row r="43" spans="1:13" ht="90" customHeight="1" x14ac:dyDescent="0.25">
      <c r="B43" s="3" t="s">
        <v>123</v>
      </c>
      <c r="C43" s="543" t="s">
        <v>122</v>
      </c>
      <c r="D43" s="543"/>
      <c r="E43" s="543"/>
      <c r="F43" s="543"/>
      <c r="G43" s="543"/>
      <c r="H43" s="543"/>
      <c r="I43" s="543"/>
      <c r="J43" s="543"/>
      <c r="K43" s="543"/>
      <c r="L43" s="543"/>
    </row>
    <row r="44" spans="1:13" x14ac:dyDescent="0.25">
      <c r="B44" s="3"/>
    </row>
    <row r="45" spans="1:13" x14ac:dyDescent="0.25">
      <c r="B45" s="3"/>
    </row>
  </sheetData>
  <mergeCells count="37">
    <mergeCell ref="B38:L38"/>
    <mergeCell ref="B39:L39"/>
    <mergeCell ref="B40:L40"/>
    <mergeCell ref="C43:L43"/>
    <mergeCell ref="C36:D36"/>
    <mergeCell ref="E36:F36"/>
    <mergeCell ref="G36:H36"/>
    <mergeCell ref="I36:J36"/>
    <mergeCell ref="K36:L36"/>
    <mergeCell ref="C37:D37"/>
    <mergeCell ref="E37:F37"/>
    <mergeCell ref="G37:H37"/>
    <mergeCell ref="I37:J37"/>
    <mergeCell ref="K37:L37"/>
    <mergeCell ref="C32:L32"/>
    <mergeCell ref="A34:B34"/>
    <mergeCell ref="C35:D35"/>
    <mergeCell ref="E35:F35"/>
    <mergeCell ref="G35:H35"/>
    <mergeCell ref="I35:J35"/>
    <mergeCell ref="K35:L35"/>
    <mergeCell ref="P9:S9"/>
    <mergeCell ref="A11:B11"/>
    <mergeCell ref="A15:B15"/>
    <mergeCell ref="A24:B24"/>
    <mergeCell ref="A8:A9"/>
    <mergeCell ref="C30:L30"/>
    <mergeCell ref="B1:L1"/>
    <mergeCell ref="B2:L2"/>
    <mergeCell ref="B4:L4"/>
    <mergeCell ref="C6:L6"/>
    <mergeCell ref="B8:B9"/>
    <mergeCell ref="C8:D8"/>
    <mergeCell ref="E8:F8"/>
    <mergeCell ref="G8:H8"/>
    <mergeCell ref="I8:J8"/>
    <mergeCell ref="K8:L8"/>
  </mergeCells>
  <pageMargins left="0.7" right="0.7" top="0.75" bottom="0.75" header="0.3" footer="0.3"/>
  <pageSetup scale="54"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zoomScaleNormal="100" workbookViewId="0">
      <selection activeCell="R15" sqref="R15"/>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1" width="13.7109375" customWidth="1"/>
    <col min="12" max="12" width="1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125</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126</v>
      </c>
      <c r="C12" s="218"/>
      <c r="D12" s="219">
        <v>979222</v>
      </c>
      <c r="E12" s="218"/>
      <c r="F12" s="219">
        <v>858155</v>
      </c>
      <c r="G12" s="218"/>
      <c r="H12" s="219">
        <v>1141510</v>
      </c>
      <c r="I12" s="218"/>
      <c r="J12" s="219">
        <v>954121</v>
      </c>
      <c r="K12" s="218"/>
      <c r="L12" s="219">
        <v>1034861</v>
      </c>
    </row>
    <row r="13" spans="1:13" ht="36.75" customHeight="1" x14ac:dyDescent="0.25">
      <c r="A13" s="48" t="s">
        <v>16</v>
      </c>
      <c r="B13" s="30" t="s">
        <v>31</v>
      </c>
      <c r="C13" s="66">
        <v>0.20996370766788097</v>
      </c>
      <c r="D13" s="43"/>
      <c r="E13" s="66">
        <v>0.18118250692718454</v>
      </c>
      <c r="F13" s="43"/>
      <c r="G13" s="66">
        <v>0.18118250692718454</v>
      </c>
      <c r="H13" s="43"/>
      <c r="I13" s="66">
        <v>0.22344042437992606</v>
      </c>
      <c r="J13" s="43"/>
      <c r="K13" s="66">
        <v>0.21990942764656168</v>
      </c>
      <c r="L13" s="43"/>
    </row>
    <row r="14" spans="1:13" ht="7.5" customHeight="1" x14ac:dyDescent="0.25">
      <c r="A14" s="29"/>
      <c r="B14" s="3"/>
    </row>
    <row r="15" spans="1:13" x14ac:dyDescent="0.25">
      <c r="A15" s="509" t="s">
        <v>1</v>
      </c>
      <c r="B15" s="510"/>
      <c r="C15" s="10"/>
      <c r="D15" s="8"/>
      <c r="E15" s="7"/>
      <c r="F15" s="8"/>
      <c r="G15" s="7"/>
      <c r="H15" s="8"/>
      <c r="I15" s="7"/>
      <c r="J15" s="8"/>
      <c r="K15" s="7"/>
      <c r="L15" s="9"/>
    </row>
    <row r="16" spans="1:13" ht="33" customHeight="1" x14ac:dyDescent="0.25">
      <c r="A16" s="40">
        <v>2</v>
      </c>
      <c r="B16" s="31" t="s">
        <v>127</v>
      </c>
      <c r="C16" s="220"/>
      <c r="D16" s="221">
        <v>7434</v>
      </c>
      <c r="E16" s="222"/>
      <c r="F16" s="223">
        <v>13125</v>
      </c>
      <c r="G16" s="224"/>
      <c r="H16" s="221">
        <v>13936</v>
      </c>
      <c r="I16" s="222"/>
      <c r="J16" s="223">
        <v>15355</v>
      </c>
      <c r="K16" s="224"/>
      <c r="L16" s="223">
        <v>14087</v>
      </c>
    </row>
    <row r="17" spans="1:12" ht="36" customHeight="1" x14ac:dyDescent="0.25">
      <c r="A17" s="48" t="s">
        <v>17</v>
      </c>
      <c r="B17" s="30" t="s">
        <v>30</v>
      </c>
      <c r="C17" s="225"/>
      <c r="D17" s="226"/>
      <c r="E17" s="227"/>
      <c r="F17" s="228"/>
      <c r="G17" s="229"/>
      <c r="H17" s="226"/>
      <c r="I17" s="227"/>
      <c r="J17" s="228"/>
      <c r="K17" s="229"/>
      <c r="L17" s="228"/>
    </row>
    <row r="18" spans="1:12" ht="30" x14ac:dyDescent="0.25">
      <c r="A18" s="40">
        <v>3</v>
      </c>
      <c r="B18" s="31" t="s">
        <v>128</v>
      </c>
      <c r="C18" s="220"/>
      <c r="D18" s="221">
        <v>502304</v>
      </c>
      <c r="E18" s="222"/>
      <c r="F18" s="223">
        <v>517259</v>
      </c>
      <c r="G18" s="224"/>
      <c r="H18" s="221">
        <v>534395</v>
      </c>
      <c r="I18" s="222"/>
      <c r="J18" s="223">
        <v>553608</v>
      </c>
      <c r="K18" s="224"/>
      <c r="L18" s="223">
        <v>575539</v>
      </c>
    </row>
    <row r="19" spans="1:12" ht="36" customHeight="1" x14ac:dyDescent="0.25">
      <c r="A19" s="49" t="s">
        <v>37</v>
      </c>
      <c r="B19" s="32" t="s">
        <v>129</v>
      </c>
      <c r="C19" s="230"/>
      <c r="D19" s="231">
        <v>9128</v>
      </c>
      <c r="E19" s="230"/>
      <c r="F19" s="231">
        <v>7493</v>
      </c>
      <c r="G19" s="230"/>
      <c r="H19" s="231">
        <v>4165</v>
      </c>
      <c r="I19" s="230"/>
      <c r="J19" s="231">
        <v>4976</v>
      </c>
      <c r="K19" s="230"/>
      <c r="L19" s="231">
        <v>7844</v>
      </c>
    </row>
    <row r="20" spans="1:12" ht="18" customHeight="1" x14ac:dyDescent="0.25">
      <c r="A20" s="50" t="s">
        <v>41</v>
      </c>
      <c r="B20" s="32" t="s">
        <v>26</v>
      </c>
      <c r="C20" s="232"/>
      <c r="D20" s="12"/>
      <c r="E20" s="232"/>
      <c r="F20" s="12"/>
      <c r="G20" s="232"/>
      <c r="H20" s="12"/>
      <c r="I20" s="232"/>
      <c r="J20" s="12"/>
      <c r="K20" s="232"/>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30" x14ac:dyDescent="0.25">
      <c r="A25" s="40">
        <v>4</v>
      </c>
      <c r="B25" s="44" t="s">
        <v>130</v>
      </c>
      <c r="D25" s="233">
        <v>19725</v>
      </c>
      <c r="E25" s="234"/>
      <c r="F25" s="233">
        <v>24616</v>
      </c>
      <c r="G25" s="235"/>
      <c r="H25" s="233">
        <v>25733</v>
      </c>
      <c r="I25" s="236"/>
      <c r="J25" s="237">
        <v>28252</v>
      </c>
      <c r="K25" s="238"/>
      <c r="L25" s="237">
        <v>28773</v>
      </c>
    </row>
    <row r="26" spans="1:12" ht="19.5" customHeight="1" x14ac:dyDescent="0.25">
      <c r="A26" s="48" t="s">
        <v>19</v>
      </c>
      <c r="B26" s="30" t="s">
        <v>0</v>
      </c>
      <c r="C26" s="128"/>
      <c r="D26" s="239" t="s">
        <v>131</v>
      </c>
      <c r="E26" s="128"/>
      <c r="F26" s="239" t="s">
        <v>131</v>
      </c>
      <c r="G26" s="128"/>
      <c r="H26" s="239" t="s">
        <v>131</v>
      </c>
      <c r="I26" s="128"/>
      <c r="J26" s="239" t="s">
        <v>132</v>
      </c>
      <c r="K26" s="128"/>
      <c r="L26" s="239" t="s">
        <v>132</v>
      </c>
    </row>
    <row r="27" spans="1:12" ht="39.75" customHeight="1" x14ac:dyDescent="0.25">
      <c r="A27" s="40">
        <v>5</v>
      </c>
      <c r="B27" s="45" t="s">
        <v>38</v>
      </c>
      <c r="C27" s="240"/>
      <c r="D27" s="241"/>
      <c r="E27" s="240"/>
      <c r="F27" s="241"/>
      <c r="G27" s="240"/>
      <c r="H27" s="241"/>
      <c r="I27" s="240"/>
      <c r="J27" s="241"/>
      <c r="K27" s="240"/>
      <c r="L27" s="242"/>
    </row>
    <row r="28" spans="1:12" ht="48" customHeight="1" x14ac:dyDescent="0.25">
      <c r="A28" s="49" t="s">
        <v>20</v>
      </c>
      <c r="B28" s="34" t="s">
        <v>42</v>
      </c>
      <c r="C28" s="243"/>
      <c r="D28" s="244"/>
      <c r="E28" s="243"/>
      <c r="F28" s="244"/>
      <c r="G28" s="243"/>
      <c r="H28" s="244"/>
      <c r="I28" s="243"/>
      <c r="J28" s="244"/>
      <c r="K28" s="243"/>
      <c r="L28" s="245"/>
    </row>
    <row r="29" spans="1:12" ht="36" customHeight="1" x14ac:dyDescent="0.25">
      <c r="A29" s="49" t="s">
        <v>21</v>
      </c>
      <c r="B29" s="34" t="s">
        <v>34</v>
      </c>
      <c r="C29" s="243"/>
      <c r="D29" s="244"/>
      <c r="E29" s="243"/>
      <c r="F29" s="244"/>
      <c r="G29" s="243"/>
      <c r="H29" s="244"/>
      <c r="I29" s="243"/>
      <c r="J29" s="244"/>
      <c r="K29" s="243"/>
      <c r="L29" s="245"/>
    </row>
    <row r="30" spans="1:12" ht="66" customHeight="1" x14ac:dyDescent="0.25">
      <c r="A30" s="48" t="s">
        <v>22</v>
      </c>
      <c r="B30" s="35" t="s">
        <v>15</v>
      </c>
      <c r="C30" s="565"/>
      <c r="D30" s="566"/>
      <c r="E30" s="566"/>
      <c r="F30" s="566"/>
      <c r="G30" s="566"/>
      <c r="H30" s="566"/>
      <c r="I30" s="566"/>
      <c r="J30" s="566"/>
      <c r="K30" s="566"/>
      <c r="L30" s="567"/>
    </row>
    <row r="31" spans="1:12" ht="18" customHeight="1" x14ac:dyDescent="0.25">
      <c r="A31" s="40">
        <v>6</v>
      </c>
      <c r="B31" s="33" t="s">
        <v>14</v>
      </c>
      <c r="C31" s="28"/>
      <c r="D31" s="23"/>
      <c r="E31" s="16"/>
      <c r="F31" s="23"/>
      <c r="G31" s="16"/>
      <c r="H31" s="23"/>
      <c r="I31" s="16"/>
      <c r="J31" s="23"/>
      <c r="K31" s="16"/>
      <c r="L31" s="23"/>
    </row>
    <row r="32" spans="1:12" ht="33.75" customHeight="1" x14ac:dyDescent="0.25">
      <c r="A32" s="48" t="s">
        <v>23</v>
      </c>
      <c r="B32" s="46" t="s">
        <v>39</v>
      </c>
      <c r="C32" s="522"/>
      <c r="D32" s="505"/>
      <c r="E32" s="505"/>
      <c r="F32" s="505"/>
      <c r="G32" s="505"/>
      <c r="H32" s="505"/>
      <c r="I32" s="505"/>
      <c r="J32" s="505"/>
      <c r="K32" s="505"/>
      <c r="L32" s="506"/>
    </row>
    <row r="33" spans="1:13" ht="28.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68" t="s">
        <v>133</v>
      </c>
      <c r="D35" s="564"/>
      <c r="E35" s="563" t="s">
        <v>133</v>
      </c>
      <c r="F35" s="564"/>
      <c r="G35" s="563" t="s">
        <v>133</v>
      </c>
      <c r="H35" s="564"/>
      <c r="I35" s="563" t="s">
        <v>133</v>
      </c>
      <c r="J35" s="564"/>
      <c r="K35" s="563" t="s">
        <v>133</v>
      </c>
      <c r="L35" s="564"/>
    </row>
    <row r="36" spans="1:13" x14ac:dyDescent="0.25">
      <c r="A36" s="39">
        <v>8</v>
      </c>
      <c r="B36" s="36" t="s">
        <v>4</v>
      </c>
      <c r="C36" s="569"/>
      <c r="D36" s="570"/>
      <c r="E36" s="571">
        <v>25641</v>
      </c>
      <c r="F36" s="572"/>
      <c r="G36" s="571">
        <v>19550</v>
      </c>
      <c r="H36" s="572"/>
      <c r="I36" s="571">
        <v>26145</v>
      </c>
      <c r="J36" s="572"/>
      <c r="K36" s="571">
        <v>17701</v>
      </c>
      <c r="L36" s="572"/>
    </row>
    <row r="37" spans="1:13" ht="15.75" thickBot="1" x14ac:dyDescent="0.3">
      <c r="A37" s="63">
        <v>9</v>
      </c>
      <c r="B37" s="37" t="s">
        <v>44</v>
      </c>
      <c r="C37" s="573" t="s">
        <v>62</v>
      </c>
      <c r="D37" s="574"/>
      <c r="E37" s="575" t="s">
        <v>61</v>
      </c>
      <c r="F37" s="574"/>
      <c r="G37" s="575" t="s">
        <v>62</v>
      </c>
      <c r="H37" s="574"/>
      <c r="I37" s="575" t="s">
        <v>61</v>
      </c>
      <c r="J37" s="574"/>
      <c r="K37" s="575" t="s">
        <v>62</v>
      </c>
      <c r="L37" s="574"/>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5">
    <mergeCell ref="B38:L38"/>
    <mergeCell ref="B39:L39"/>
    <mergeCell ref="B40:L40"/>
    <mergeCell ref="C36:D36"/>
    <mergeCell ref="E36:F36"/>
    <mergeCell ref="G36:H36"/>
    <mergeCell ref="I36:J36"/>
    <mergeCell ref="K36:L36"/>
    <mergeCell ref="C37:D37"/>
    <mergeCell ref="E37:F37"/>
    <mergeCell ref="G37:H37"/>
    <mergeCell ref="I37:J37"/>
    <mergeCell ref="K37:L37"/>
    <mergeCell ref="K35:L35"/>
    <mergeCell ref="K8:L8"/>
    <mergeCell ref="A11:B11"/>
    <mergeCell ref="A15:B15"/>
    <mergeCell ref="A24:B24"/>
    <mergeCell ref="C30:L30"/>
    <mergeCell ref="C32:L32"/>
    <mergeCell ref="A34:B34"/>
    <mergeCell ref="C35:D35"/>
    <mergeCell ref="E35:F35"/>
    <mergeCell ref="G35:H35"/>
    <mergeCell ref="I35:J35"/>
    <mergeCell ref="B1:L1"/>
    <mergeCell ref="B2:L2"/>
    <mergeCell ref="B4:L4"/>
    <mergeCell ref="C6:L6"/>
    <mergeCell ref="A8:A9"/>
    <mergeCell ref="B8:B9"/>
    <mergeCell ref="C8:D8"/>
    <mergeCell ref="E8:F8"/>
    <mergeCell ref="G8:H8"/>
    <mergeCell ref="I8:J8"/>
  </mergeCells>
  <pageMargins left="0.7" right="0.7" top="0.75" bottom="0.75" header="0.3" footer="0.3"/>
  <pageSetup scale="54"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opLeftCell="A7" zoomScale="85" zoomScaleNormal="85" workbookViewId="0">
      <pane xSplit="2" ySplit="3" topLeftCell="C10" activePane="bottomRight" state="frozen"/>
      <selection activeCell="A7" sqref="A7"/>
      <selection pane="topRight" activeCell="C7" sqref="C7"/>
      <selection pane="bottomLeft" activeCell="A10" sqref="A10"/>
      <selection pane="bottomRight" activeCell="R19" sqref="R19"/>
    </sheetView>
  </sheetViews>
  <sheetFormatPr defaultRowHeight="15" x14ac:dyDescent="0.25"/>
  <cols>
    <col min="1" max="1" width="5.5703125" style="246" customWidth="1"/>
    <col min="2" max="2" width="52.140625" style="246" customWidth="1"/>
    <col min="3" max="3" width="13.7109375" style="246" customWidth="1"/>
    <col min="4" max="4" width="14" style="246" customWidth="1"/>
    <col min="5" max="5" width="13.85546875" style="246" customWidth="1"/>
    <col min="6" max="7" width="13.7109375" style="246" customWidth="1"/>
    <col min="8" max="9" width="13.5703125" style="246" customWidth="1"/>
    <col min="10" max="10" width="14.140625" style="246" customWidth="1"/>
    <col min="11" max="12" width="13.7109375" style="246" customWidth="1"/>
    <col min="13" max="13" width="48.5703125" style="246" customWidth="1"/>
    <col min="14" max="16384" width="9.140625" style="246"/>
  </cols>
  <sheetData>
    <row r="1" spans="1:13" x14ac:dyDescent="0.25">
      <c r="B1" s="576" t="s">
        <v>9</v>
      </c>
      <c r="C1" s="576"/>
      <c r="D1" s="576"/>
      <c r="E1" s="576"/>
      <c r="F1" s="576"/>
      <c r="G1" s="576"/>
      <c r="H1" s="576"/>
      <c r="I1" s="576"/>
      <c r="J1" s="576"/>
      <c r="K1" s="576"/>
      <c r="L1" s="576"/>
    </row>
    <row r="2" spans="1:13" x14ac:dyDescent="0.25">
      <c r="B2" s="576" t="s">
        <v>10</v>
      </c>
      <c r="C2" s="576"/>
      <c r="D2" s="576"/>
      <c r="E2" s="576"/>
      <c r="F2" s="576"/>
      <c r="G2" s="576"/>
      <c r="H2" s="576"/>
      <c r="I2" s="576"/>
      <c r="J2" s="576"/>
      <c r="K2" s="576"/>
      <c r="L2" s="576"/>
    </row>
    <row r="3" spans="1:13" ht="8.25" customHeight="1" x14ac:dyDescent="0.25">
      <c r="B3" s="247"/>
      <c r="C3" s="247"/>
      <c r="D3" s="247"/>
      <c r="E3" s="247"/>
      <c r="F3" s="247"/>
      <c r="G3" s="247"/>
      <c r="H3" s="247"/>
      <c r="I3" s="247"/>
      <c r="J3" s="247"/>
      <c r="K3" s="247"/>
      <c r="L3" s="247"/>
    </row>
    <row r="4" spans="1:13" x14ac:dyDescent="0.25">
      <c r="B4" s="577" t="s">
        <v>36</v>
      </c>
      <c r="C4" s="577"/>
      <c r="D4" s="577"/>
      <c r="E4" s="577"/>
      <c r="F4" s="577"/>
      <c r="G4" s="577"/>
      <c r="H4" s="577"/>
      <c r="I4" s="577"/>
      <c r="J4" s="577"/>
      <c r="K4" s="577"/>
      <c r="L4" s="577"/>
    </row>
    <row r="5" spans="1:13" x14ac:dyDescent="0.25">
      <c r="B5" s="578" t="s">
        <v>134</v>
      </c>
      <c r="C5" s="578"/>
      <c r="D5" s="578"/>
      <c r="E5" s="578"/>
      <c r="F5" s="578"/>
      <c r="G5" s="578"/>
      <c r="H5" s="578"/>
      <c r="I5" s="578"/>
      <c r="J5" s="578"/>
      <c r="K5" s="578"/>
      <c r="L5" s="578"/>
    </row>
    <row r="6" spans="1:13" x14ac:dyDescent="0.25">
      <c r="B6" s="248" t="s">
        <v>11</v>
      </c>
      <c r="C6" s="579" t="s">
        <v>135</v>
      </c>
      <c r="D6" s="579"/>
      <c r="E6" s="579"/>
      <c r="F6" s="579"/>
      <c r="G6" s="579"/>
      <c r="H6" s="579"/>
      <c r="I6" s="579"/>
      <c r="J6" s="579"/>
      <c r="K6" s="579"/>
      <c r="L6" s="580"/>
    </row>
    <row r="7" spans="1:13" ht="15.75" thickBot="1" x14ac:dyDescent="0.3">
      <c r="A7" s="249" t="s">
        <v>136</v>
      </c>
    </row>
    <row r="8" spans="1:13" x14ac:dyDescent="0.25">
      <c r="A8" s="588" t="s">
        <v>24</v>
      </c>
      <c r="B8" s="590" t="s">
        <v>8</v>
      </c>
      <c r="C8" s="583">
        <v>2012</v>
      </c>
      <c r="D8" s="582"/>
      <c r="E8" s="581">
        <v>2013</v>
      </c>
      <c r="F8" s="582"/>
      <c r="G8" s="581">
        <v>2014</v>
      </c>
      <c r="H8" s="582"/>
      <c r="I8" s="581">
        <v>2015</v>
      </c>
      <c r="J8" s="582"/>
      <c r="K8" s="583">
        <v>2016</v>
      </c>
      <c r="L8" s="582"/>
      <c r="M8" s="249" t="s">
        <v>137</v>
      </c>
    </row>
    <row r="9" spans="1:13" ht="95.25" customHeight="1" thickBot="1" x14ac:dyDescent="0.3">
      <c r="A9" s="589"/>
      <c r="B9" s="591"/>
      <c r="C9" s="250" t="s">
        <v>32</v>
      </c>
      <c r="D9" s="251" t="s">
        <v>27</v>
      </c>
      <c r="E9" s="250" t="s">
        <v>32</v>
      </c>
      <c r="F9" s="251" t="s">
        <v>27</v>
      </c>
      <c r="G9" s="250" t="s">
        <v>32</v>
      </c>
      <c r="H9" s="251" t="s">
        <v>27</v>
      </c>
      <c r="I9" s="250" t="s">
        <v>32</v>
      </c>
      <c r="J9" s="251" t="s">
        <v>27</v>
      </c>
      <c r="K9" s="250" t="s">
        <v>32</v>
      </c>
      <c r="L9" s="251" t="s">
        <v>27</v>
      </c>
      <c r="M9" s="252"/>
    </row>
    <row r="10" spans="1:13" ht="7.5" customHeight="1" x14ac:dyDescent="0.25">
      <c r="C10" s="252"/>
      <c r="D10" s="252"/>
      <c r="E10" s="252"/>
      <c r="F10" s="252"/>
      <c r="G10" s="252"/>
      <c r="H10" s="252"/>
      <c r="I10" s="252"/>
      <c r="J10" s="252"/>
      <c r="K10" s="252"/>
      <c r="L10" s="252"/>
      <c r="M10" s="252"/>
    </row>
    <row r="11" spans="1:13" x14ac:dyDescent="0.25">
      <c r="A11" s="584" t="s">
        <v>7</v>
      </c>
      <c r="B11" s="585"/>
      <c r="C11" s="253"/>
      <c r="D11" s="254"/>
      <c r="E11" s="255"/>
      <c r="F11" s="254"/>
      <c r="G11" s="255"/>
      <c r="H11" s="254"/>
      <c r="I11" s="255"/>
      <c r="J11" s="254"/>
      <c r="K11" s="255"/>
      <c r="L11" s="256"/>
    </row>
    <row r="12" spans="1:13" ht="55.5" customHeight="1" x14ac:dyDescent="0.25">
      <c r="A12" s="257">
        <v>1</v>
      </c>
      <c r="B12" s="258" t="s">
        <v>6</v>
      </c>
      <c r="C12" s="586">
        <f>2497+225023</f>
        <v>227520</v>
      </c>
      <c r="D12" s="587"/>
      <c r="E12" s="586">
        <f>2215+207184</f>
        <v>209399</v>
      </c>
      <c r="F12" s="587"/>
      <c r="G12" s="586">
        <f>2736+279286</f>
        <v>282022</v>
      </c>
      <c r="H12" s="587"/>
      <c r="I12" s="586">
        <f>242847+4119</f>
        <v>246966</v>
      </c>
      <c r="J12" s="587"/>
      <c r="K12" s="586">
        <f>4838+269869</f>
        <v>274707</v>
      </c>
      <c r="L12" s="587"/>
      <c r="M12" s="592" t="s">
        <v>138</v>
      </c>
    </row>
    <row r="13" spans="1:13" ht="55.5" customHeight="1" x14ac:dyDescent="0.25">
      <c r="A13" s="259" t="s">
        <v>16</v>
      </c>
      <c r="B13" s="260" t="s">
        <v>31</v>
      </c>
      <c r="C13" s="261">
        <f>C12/661448</f>
        <v>0.34397261765097181</v>
      </c>
      <c r="D13" s="262"/>
      <c r="E13" s="261">
        <f>E12/759394</f>
        <v>0.27574487025180605</v>
      </c>
      <c r="F13" s="262"/>
      <c r="G13" s="261">
        <f>G12/727430</f>
        <v>0.3876964106511967</v>
      </c>
      <c r="H13" s="262"/>
      <c r="I13" s="261">
        <f>I12/794372</f>
        <v>0.31089464381926857</v>
      </c>
      <c r="J13" s="262"/>
      <c r="K13" s="261">
        <f>K12/711430</f>
        <v>0.38613356198079923</v>
      </c>
      <c r="L13" s="262"/>
      <c r="M13" s="592"/>
    </row>
    <row r="14" spans="1:13" ht="7.5" customHeight="1" x14ac:dyDescent="0.25">
      <c r="A14" s="263"/>
      <c r="B14" s="264"/>
    </row>
    <row r="15" spans="1:13" x14ac:dyDescent="0.25">
      <c r="A15" s="593" t="s">
        <v>1</v>
      </c>
      <c r="B15" s="594"/>
      <c r="C15" s="253"/>
      <c r="D15" s="254"/>
      <c r="E15" s="255"/>
      <c r="F15" s="254"/>
      <c r="G15" s="255"/>
      <c r="H15" s="254"/>
      <c r="I15" s="255"/>
      <c r="J15" s="254"/>
      <c r="K15" s="255"/>
      <c r="L15" s="256"/>
    </row>
    <row r="16" spans="1:13" ht="33" customHeight="1" x14ac:dyDescent="0.25">
      <c r="A16" s="257">
        <v>2</v>
      </c>
      <c r="B16" s="258" t="s">
        <v>5</v>
      </c>
      <c r="C16" s="586">
        <v>16795</v>
      </c>
      <c r="D16" s="587"/>
      <c r="E16" s="595">
        <v>16399</v>
      </c>
      <c r="F16" s="596"/>
      <c r="G16" s="595">
        <v>14252</v>
      </c>
      <c r="H16" s="596"/>
      <c r="I16" s="595">
        <v>4996</v>
      </c>
      <c r="J16" s="596"/>
      <c r="K16" s="586">
        <v>6387</v>
      </c>
      <c r="L16" s="587"/>
    </row>
    <row r="17" spans="1:19" ht="72" customHeight="1" x14ac:dyDescent="0.25">
      <c r="A17" s="259" t="s">
        <v>17</v>
      </c>
      <c r="B17" s="260" t="s">
        <v>30</v>
      </c>
      <c r="C17" s="602">
        <v>0.04</v>
      </c>
      <c r="D17" s="603"/>
      <c r="E17" s="602">
        <v>0.04</v>
      </c>
      <c r="F17" s="603"/>
      <c r="G17" s="602">
        <v>0.04</v>
      </c>
      <c r="H17" s="603"/>
      <c r="I17" s="602">
        <v>0.04</v>
      </c>
      <c r="J17" s="603"/>
      <c r="K17" s="602">
        <v>0.04</v>
      </c>
      <c r="L17" s="603"/>
      <c r="M17" s="265" t="s">
        <v>139</v>
      </c>
      <c r="P17" s="266"/>
    </row>
    <row r="18" spans="1:19" ht="18" customHeight="1" x14ac:dyDescent="0.25">
      <c r="A18" s="257">
        <v>3</v>
      </c>
      <c r="B18" s="258" t="s">
        <v>12</v>
      </c>
      <c r="C18" s="597">
        <v>131397</v>
      </c>
      <c r="D18" s="598"/>
      <c r="E18" s="599">
        <v>147796</v>
      </c>
      <c r="F18" s="600"/>
      <c r="G18" s="599">
        <v>162048</v>
      </c>
      <c r="H18" s="600"/>
      <c r="I18" s="599">
        <v>167044</v>
      </c>
      <c r="J18" s="600"/>
      <c r="K18" s="601">
        <v>173431</v>
      </c>
      <c r="L18" s="598"/>
      <c r="M18" s="267"/>
      <c r="N18" s="267"/>
      <c r="O18" s="267"/>
      <c r="P18" s="267"/>
      <c r="Q18" s="267"/>
      <c r="R18" s="267"/>
      <c r="S18" s="267"/>
    </row>
    <row r="19" spans="1:19" ht="36" customHeight="1" x14ac:dyDescent="0.25">
      <c r="A19" s="268" t="s">
        <v>37</v>
      </c>
      <c r="B19" s="269" t="s">
        <v>35</v>
      </c>
      <c r="C19" s="607">
        <f>1070025.68/1000</f>
        <v>1070.02568</v>
      </c>
      <c r="D19" s="608"/>
      <c r="E19" s="609">
        <f>1006186.76/1000</f>
        <v>1006.18676</v>
      </c>
      <c r="F19" s="608"/>
      <c r="G19" s="609">
        <f>905851.12/1000</f>
        <v>905.85112000000004</v>
      </c>
      <c r="H19" s="608"/>
      <c r="I19" s="609">
        <f>1190367.65/1000</f>
        <v>1190.3676499999999</v>
      </c>
      <c r="J19" s="608"/>
      <c r="K19" s="609">
        <f>3133457.99/1000</f>
        <v>3133.4579900000003</v>
      </c>
      <c r="L19" s="608"/>
      <c r="P19" s="266"/>
    </row>
    <row r="20" spans="1:19" ht="18" customHeight="1" x14ac:dyDescent="0.25">
      <c r="A20" s="270" t="s">
        <v>41</v>
      </c>
      <c r="B20" s="269" t="s">
        <v>26</v>
      </c>
      <c r="C20" s="604">
        <v>0.01</v>
      </c>
      <c r="D20" s="605"/>
      <c r="E20" s="606">
        <v>8.0000000000000002E-3</v>
      </c>
      <c r="F20" s="605"/>
      <c r="G20" s="606">
        <v>6.0000000000000001E-3</v>
      </c>
      <c r="H20" s="605"/>
      <c r="I20" s="606">
        <v>8.0000000000000002E-3</v>
      </c>
      <c r="J20" s="605"/>
      <c r="K20" s="606">
        <f>K19/I18</f>
        <v>1.8758279195900483E-2</v>
      </c>
      <c r="L20" s="605"/>
      <c r="P20" s="266"/>
    </row>
    <row r="21" spans="1:19" ht="33" customHeight="1" x14ac:dyDescent="0.25">
      <c r="A21" s="270" t="s">
        <v>18</v>
      </c>
      <c r="B21" s="269" t="s">
        <v>28</v>
      </c>
      <c r="C21" s="607">
        <f>C18</f>
        <v>131397</v>
      </c>
      <c r="D21" s="608"/>
      <c r="E21" s="609">
        <f t="shared" ref="E21" si="0">E18</f>
        <v>147796</v>
      </c>
      <c r="F21" s="608"/>
      <c r="G21" s="609">
        <f t="shared" ref="G21" si="1">G18</f>
        <v>162048</v>
      </c>
      <c r="H21" s="608"/>
      <c r="I21" s="609">
        <f t="shared" ref="I21" si="2">I18</f>
        <v>167044</v>
      </c>
      <c r="J21" s="608"/>
      <c r="K21" s="609">
        <f t="shared" ref="K21" si="3">K18</f>
        <v>173431</v>
      </c>
      <c r="L21" s="608"/>
      <c r="P21" s="266"/>
    </row>
    <row r="22" spans="1:19" ht="18.75" customHeight="1" x14ac:dyDescent="0.25">
      <c r="A22" s="271" t="s">
        <v>25</v>
      </c>
      <c r="B22" s="260" t="s">
        <v>29</v>
      </c>
      <c r="C22" s="610">
        <f>C18-C21</f>
        <v>0</v>
      </c>
      <c r="D22" s="611"/>
      <c r="E22" s="612">
        <f t="shared" ref="E22" si="4">E18-E21</f>
        <v>0</v>
      </c>
      <c r="F22" s="611"/>
      <c r="G22" s="612">
        <f t="shared" ref="G22" si="5">G18-G21</f>
        <v>0</v>
      </c>
      <c r="H22" s="611"/>
      <c r="I22" s="612">
        <f t="shared" ref="I22" si="6">I18-I21</f>
        <v>0</v>
      </c>
      <c r="J22" s="611"/>
      <c r="K22" s="612">
        <f t="shared" ref="K22" si="7">K18-K21</f>
        <v>0</v>
      </c>
      <c r="L22" s="611"/>
      <c r="P22" s="266"/>
    </row>
    <row r="23" spans="1:19" ht="7.5" customHeight="1" x14ac:dyDescent="0.25">
      <c r="A23" s="263"/>
      <c r="B23" s="264"/>
    </row>
    <row r="24" spans="1:19" x14ac:dyDescent="0.25">
      <c r="A24" s="593" t="s">
        <v>13</v>
      </c>
      <c r="B24" s="594"/>
      <c r="C24" s="253"/>
      <c r="D24" s="253"/>
      <c r="E24" s="253"/>
      <c r="F24" s="253"/>
      <c r="G24" s="253"/>
      <c r="H24" s="253"/>
      <c r="I24" s="253"/>
      <c r="J24" s="253"/>
      <c r="K24" s="253"/>
      <c r="L24" s="254"/>
    </row>
    <row r="25" spans="1:19" ht="129" customHeight="1" x14ac:dyDescent="0.25">
      <c r="A25" s="257">
        <v>4</v>
      </c>
      <c r="B25" s="272" t="s">
        <v>40</v>
      </c>
      <c r="C25" s="586">
        <f>C16-C31-C19</f>
        <v>3224.9743200000003</v>
      </c>
      <c r="D25" s="587"/>
      <c r="E25" s="586">
        <f>E16-E31-E19</f>
        <v>3392.81324</v>
      </c>
      <c r="F25" s="587"/>
      <c r="G25" s="586">
        <f>3345708.57000001/1000</f>
        <v>3345.7085700000102</v>
      </c>
      <c r="H25" s="587"/>
      <c r="I25" s="586">
        <f>3806349.97/1000</f>
        <v>3806.3499700000002</v>
      </c>
      <c r="J25" s="587"/>
      <c r="K25" s="586">
        <f>3254761.49/1000</f>
        <v>3254.7614900000003</v>
      </c>
      <c r="L25" s="587"/>
      <c r="M25" s="273" t="s">
        <v>140</v>
      </c>
    </row>
    <row r="26" spans="1:19" s="266" customFormat="1" ht="49.5" customHeight="1" x14ac:dyDescent="0.25">
      <c r="A26" s="259" t="s">
        <v>19</v>
      </c>
      <c r="B26" s="260" t="s">
        <v>0</v>
      </c>
      <c r="C26" s="613">
        <v>0.04</v>
      </c>
      <c r="D26" s="614"/>
      <c r="E26" s="613">
        <v>0.04</v>
      </c>
      <c r="F26" s="614"/>
      <c r="G26" s="613">
        <v>0.04</v>
      </c>
      <c r="H26" s="614"/>
      <c r="I26" s="613">
        <v>0.04</v>
      </c>
      <c r="J26" s="614"/>
      <c r="K26" s="613">
        <v>0.04</v>
      </c>
      <c r="L26" s="614"/>
      <c r="M26" s="264" t="s">
        <v>141</v>
      </c>
    </row>
    <row r="27" spans="1:19" ht="72" customHeight="1" x14ac:dyDescent="0.25">
      <c r="A27" s="257">
        <v>5</v>
      </c>
      <c r="B27" s="274" t="s">
        <v>38</v>
      </c>
      <c r="C27" s="275">
        <v>0</v>
      </c>
      <c r="D27" s="276">
        <v>0</v>
      </c>
      <c r="E27" s="275">
        <v>0</v>
      </c>
      <c r="F27" s="276">
        <v>0</v>
      </c>
      <c r="G27" s="275">
        <v>0</v>
      </c>
      <c r="H27" s="276">
        <v>0</v>
      </c>
      <c r="I27" s="275">
        <v>0</v>
      </c>
      <c r="J27" s="276">
        <v>0</v>
      </c>
      <c r="K27" s="275">
        <v>0</v>
      </c>
      <c r="L27" s="277">
        <v>0</v>
      </c>
      <c r="M27" s="592" t="s">
        <v>142</v>
      </c>
    </row>
    <row r="28" spans="1:19" ht="72" customHeight="1" x14ac:dyDescent="0.25">
      <c r="A28" s="268" t="s">
        <v>20</v>
      </c>
      <c r="B28" s="278" t="s">
        <v>42</v>
      </c>
      <c r="C28" s="275">
        <v>0</v>
      </c>
      <c r="D28" s="276">
        <v>0</v>
      </c>
      <c r="E28" s="275">
        <v>0</v>
      </c>
      <c r="F28" s="276">
        <v>0</v>
      </c>
      <c r="G28" s="275">
        <v>0</v>
      </c>
      <c r="H28" s="276">
        <v>0</v>
      </c>
      <c r="I28" s="275">
        <v>0</v>
      </c>
      <c r="J28" s="276">
        <v>0</v>
      </c>
      <c r="K28" s="275">
        <v>0</v>
      </c>
      <c r="L28" s="277">
        <v>0</v>
      </c>
      <c r="M28" s="592"/>
    </row>
    <row r="29" spans="1:19" ht="72" customHeight="1" x14ac:dyDescent="0.25">
      <c r="A29" s="268" t="s">
        <v>21</v>
      </c>
      <c r="B29" s="278" t="s">
        <v>34</v>
      </c>
      <c r="C29" s="275">
        <v>0</v>
      </c>
      <c r="D29" s="276">
        <v>0</v>
      </c>
      <c r="E29" s="275">
        <v>0</v>
      </c>
      <c r="F29" s="276">
        <v>0</v>
      </c>
      <c r="G29" s="275">
        <v>0</v>
      </c>
      <c r="H29" s="276">
        <v>0</v>
      </c>
      <c r="I29" s="275">
        <v>0</v>
      </c>
      <c r="J29" s="276">
        <v>0</v>
      </c>
      <c r="K29" s="275">
        <v>0</v>
      </c>
      <c r="L29" s="277">
        <v>0</v>
      </c>
      <c r="M29" s="592"/>
    </row>
    <row r="30" spans="1:19" ht="145.5" customHeight="1" x14ac:dyDescent="0.25">
      <c r="A30" s="259" t="s">
        <v>22</v>
      </c>
      <c r="B30" s="279" t="s">
        <v>15</v>
      </c>
      <c r="C30" s="615" t="s">
        <v>143</v>
      </c>
      <c r="D30" s="616"/>
      <c r="E30" s="616"/>
      <c r="F30" s="616"/>
      <c r="G30" s="616"/>
      <c r="H30" s="616"/>
      <c r="I30" s="616"/>
      <c r="J30" s="616"/>
      <c r="K30" s="616"/>
      <c r="L30" s="617"/>
    </row>
    <row r="31" spans="1:19" ht="18" customHeight="1" x14ac:dyDescent="0.25">
      <c r="A31" s="257">
        <v>6</v>
      </c>
      <c r="B31" s="280" t="s">
        <v>14</v>
      </c>
      <c r="C31" s="586">
        <v>12500</v>
      </c>
      <c r="D31" s="587"/>
      <c r="E31" s="595">
        <v>12000</v>
      </c>
      <c r="F31" s="596"/>
      <c r="G31" s="595">
        <v>10000</v>
      </c>
      <c r="H31" s="596"/>
      <c r="I31" s="595">
        <v>0</v>
      </c>
      <c r="J31" s="596"/>
      <c r="K31" s="586">
        <v>0</v>
      </c>
      <c r="L31" s="587"/>
    </row>
    <row r="32" spans="1:19" ht="33.75" customHeight="1" x14ac:dyDescent="0.25">
      <c r="A32" s="259" t="s">
        <v>23</v>
      </c>
      <c r="B32" s="281" t="s">
        <v>39</v>
      </c>
      <c r="C32" s="618" t="s">
        <v>144</v>
      </c>
      <c r="D32" s="619"/>
      <c r="E32" s="619"/>
      <c r="F32" s="619"/>
      <c r="G32" s="619"/>
      <c r="H32" s="619"/>
      <c r="I32" s="619"/>
      <c r="J32" s="619"/>
      <c r="K32" s="619"/>
      <c r="L32" s="620"/>
    </row>
    <row r="33" spans="1:13" ht="7.5" customHeight="1" x14ac:dyDescent="0.25">
      <c r="A33" s="263"/>
      <c r="B33" s="264"/>
    </row>
    <row r="34" spans="1:13" ht="15" customHeight="1" x14ac:dyDescent="0.25">
      <c r="A34" s="593" t="s">
        <v>2</v>
      </c>
      <c r="B34" s="594"/>
      <c r="C34" s="253"/>
      <c r="D34" s="254"/>
      <c r="E34" s="255"/>
      <c r="F34" s="254"/>
      <c r="G34" s="255"/>
      <c r="H34" s="254"/>
      <c r="I34" s="255"/>
      <c r="J34" s="254"/>
      <c r="K34" s="255"/>
      <c r="L34" s="254"/>
    </row>
    <row r="35" spans="1:13" x14ac:dyDescent="0.25">
      <c r="A35" s="282">
        <v>7</v>
      </c>
      <c r="B35" s="280" t="s">
        <v>3</v>
      </c>
      <c r="C35" s="621" t="s">
        <v>145</v>
      </c>
      <c r="D35" s="622"/>
      <c r="E35" s="623" t="s">
        <v>146</v>
      </c>
      <c r="F35" s="622"/>
      <c r="G35" s="623" t="s">
        <v>146</v>
      </c>
      <c r="H35" s="622"/>
      <c r="I35" s="623" t="s">
        <v>146</v>
      </c>
      <c r="J35" s="622"/>
      <c r="K35" s="623" t="s">
        <v>146</v>
      </c>
      <c r="L35" s="622"/>
    </row>
    <row r="36" spans="1:13" x14ac:dyDescent="0.25">
      <c r="A36" s="282">
        <v>8</v>
      </c>
      <c r="B36" s="283" t="s">
        <v>4</v>
      </c>
      <c r="C36" s="627">
        <f>(45000+8850)/1000</f>
        <v>53.85</v>
      </c>
      <c r="D36" s="628"/>
      <c r="E36" s="629">
        <v>3.5782029950083198</v>
      </c>
      <c r="F36" s="628"/>
      <c r="G36" s="629">
        <v>4.1180000000000003</v>
      </c>
      <c r="H36" s="628"/>
      <c r="I36" s="629">
        <f>9408.9/1000</f>
        <v>9.4088999999999992</v>
      </c>
      <c r="J36" s="628"/>
      <c r="K36" s="629">
        <f>6947.04/1000</f>
        <v>6.9470400000000003</v>
      </c>
      <c r="L36" s="628"/>
    </row>
    <row r="37" spans="1:13" ht="15.75" thickBot="1" x14ac:dyDescent="0.3">
      <c r="A37" s="284">
        <v>9</v>
      </c>
      <c r="B37" s="285" t="s">
        <v>44</v>
      </c>
      <c r="C37" s="630" t="s">
        <v>62</v>
      </c>
      <c r="D37" s="631"/>
      <c r="E37" s="632" t="s">
        <v>61</v>
      </c>
      <c r="F37" s="631"/>
      <c r="G37" s="632" t="s">
        <v>62</v>
      </c>
      <c r="H37" s="631"/>
      <c r="I37" s="632" t="s">
        <v>61</v>
      </c>
      <c r="J37" s="631"/>
      <c r="K37" s="632" t="s">
        <v>62</v>
      </c>
      <c r="L37" s="631"/>
    </row>
    <row r="38" spans="1:13" ht="14.25" customHeight="1" x14ac:dyDescent="0.25">
      <c r="A38" s="286"/>
      <c r="B38" s="624"/>
      <c r="C38" s="624"/>
      <c r="D38" s="624"/>
      <c r="E38" s="624"/>
      <c r="F38" s="624"/>
      <c r="G38" s="624"/>
      <c r="H38" s="624"/>
      <c r="I38" s="624"/>
      <c r="J38" s="624"/>
      <c r="K38" s="624"/>
      <c r="L38" s="624"/>
      <c r="M38" s="287"/>
    </row>
    <row r="39" spans="1:13" ht="18" customHeight="1" x14ac:dyDescent="0.25">
      <c r="B39" s="625" t="s">
        <v>33</v>
      </c>
      <c r="C39" s="625"/>
      <c r="D39" s="625"/>
      <c r="E39" s="625"/>
      <c r="F39" s="625"/>
      <c r="G39" s="625"/>
      <c r="H39" s="625"/>
      <c r="I39" s="625"/>
      <c r="J39" s="625"/>
      <c r="K39" s="625"/>
      <c r="L39" s="625"/>
    </row>
    <row r="40" spans="1:13" ht="30.75" customHeight="1" x14ac:dyDescent="0.25">
      <c r="B40" s="626" t="s">
        <v>43</v>
      </c>
      <c r="C40" s="626"/>
      <c r="D40" s="626"/>
      <c r="E40" s="626"/>
      <c r="F40" s="626"/>
      <c r="G40" s="626"/>
      <c r="H40" s="626"/>
      <c r="I40" s="626"/>
      <c r="J40" s="626"/>
      <c r="K40" s="626"/>
      <c r="L40" s="626"/>
    </row>
    <row r="41" spans="1:13" x14ac:dyDescent="0.25">
      <c r="B41" s="264"/>
      <c r="D41" s="267"/>
      <c r="F41" s="267"/>
      <c r="H41" s="267"/>
      <c r="J41" s="267"/>
      <c r="L41" s="267"/>
    </row>
    <row r="42" spans="1:13" x14ac:dyDescent="0.25">
      <c r="B42" s="264"/>
    </row>
    <row r="43" spans="1:13" x14ac:dyDescent="0.25">
      <c r="B43" s="264"/>
    </row>
    <row r="44" spans="1:13" x14ac:dyDescent="0.25">
      <c r="B44" s="264"/>
    </row>
    <row r="45" spans="1:13" x14ac:dyDescent="0.25">
      <c r="B45" s="264"/>
    </row>
  </sheetData>
  <mergeCells count="93">
    <mergeCell ref="B38:L38"/>
    <mergeCell ref="B39:L39"/>
    <mergeCell ref="B40:L40"/>
    <mergeCell ref="C36:D36"/>
    <mergeCell ref="E36:F36"/>
    <mergeCell ref="G36:H36"/>
    <mergeCell ref="I36:J36"/>
    <mergeCell ref="K36:L36"/>
    <mergeCell ref="C37:D37"/>
    <mergeCell ref="E37:F37"/>
    <mergeCell ref="G37:H37"/>
    <mergeCell ref="I37:J37"/>
    <mergeCell ref="K37:L37"/>
    <mergeCell ref="C32:L32"/>
    <mergeCell ref="A34:B34"/>
    <mergeCell ref="C35:D35"/>
    <mergeCell ref="E35:F35"/>
    <mergeCell ref="G35:H35"/>
    <mergeCell ref="I35:J35"/>
    <mergeCell ref="K35:L35"/>
    <mergeCell ref="C30:L30"/>
    <mergeCell ref="C31:D31"/>
    <mergeCell ref="E31:F31"/>
    <mergeCell ref="G31:H31"/>
    <mergeCell ref="I31:J31"/>
    <mergeCell ref="K31:L31"/>
    <mergeCell ref="M27:M29"/>
    <mergeCell ref="A24:B24"/>
    <mergeCell ref="C25:D25"/>
    <mergeCell ref="E25:F25"/>
    <mergeCell ref="G25:H25"/>
    <mergeCell ref="I25:J25"/>
    <mergeCell ref="K25:L25"/>
    <mergeCell ref="C26:D26"/>
    <mergeCell ref="E26:F26"/>
    <mergeCell ref="G26:H26"/>
    <mergeCell ref="I26:J26"/>
    <mergeCell ref="K26:L26"/>
    <mergeCell ref="C21:D21"/>
    <mergeCell ref="E21:F21"/>
    <mergeCell ref="G21:H21"/>
    <mergeCell ref="I21:J21"/>
    <mergeCell ref="K21:L21"/>
    <mergeCell ref="C22:D22"/>
    <mergeCell ref="E22:F22"/>
    <mergeCell ref="G22:H22"/>
    <mergeCell ref="I22:J22"/>
    <mergeCell ref="K22:L22"/>
    <mergeCell ref="C19:D19"/>
    <mergeCell ref="E19:F19"/>
    <mergeCell ref="G19:H19"/>
    <mergeCell ref="I19:J19"/>
    <mergeCell ref="K19:L19"/>
    <mergeCell ref="C20:D20"/>
    <mergeCell ref="E20:F20"/>
    <mergeCell ref="G20:H20"/>
    <mergeCell ref="I20:J20"/>
    <mergeCell ref="K20:L20"/>
    <mergeCell ref="C17:D17"/>
    <mergeCell ref="E17:F17"/>
    <mergeCell ref="G17:H17"/>
    <mergeCell ref="I17:J17"/>
    <mergeCell ref="K17:L17"/>
    <mergeCell ref="C18:D18"/>
    <mergeCell ref="E18:F18"/>
    <mergeCell ref="G18:H18"/>
    <mergeCell ref="I18:J18"/>
    <mergeCell ref="K18:L18"/>
    <mergeCell ref="M12:M13"/>
    <mergeCell ref="A15:B15"/>
    <mergeCell ref="C16:D16"/>
    <mergeCell ref="E16:F16"/>
    <mergeCell ref="G16:H16"/>
    <mergeCell ref="I16:J16"/>
    <mergeCell ref="K16:L16"/>
    <mergeCell ref="I8:J8"/>
    <mergeCell ref="K8:L8"/>
    <mergeCell ref="A11:B11"/>
    <mergeCell ref="C12:D12"/>
    <mergeCell ref="E12:F12"/>
    <mergeCell ref="G12:H12"/>
    <mergeCell ref="I12:J12"/>
    <mergeCell ref="K12:L12"/>
    <mergeCell ref="A8:A9"/>
    <mergeCell ref="B8:B9"/>
    <mergeCell ref="C8:D8"/>
    <mergeCell ref="E8:F8"/>
    <mergeCell ref="G8:H8"/>
    <mergeCell ref="B1:L1"/>
    <mergeCell ref="B2:L2"/>
    <mergeCell ref="B4:L4"/>
    <mergeCell ref="B5:L5"/>
    <mergeCell ref="C6:L6"/>
  </mergeCells>
  <pageMargins left="0.7" right="0.7" top="0.75" bottom="0.75" header="0.3" footer="0.3"/>
  <pageSetup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85" zoomScaleNormal="85" workbookViewId="0">
      <selection activeCell="U7" sqref="U7"/>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8" width="13.5703125" customWidth="1"/>
    <col min="9" max="9" width="14.42578125" customWidth="1"/>
    <col min="10" max="10" width="14.140625" customWidth="1"/>
    <col min="11" max="12" width="13.7109375" customWidth="1"/>
    <col min="16" max="16" width="14.28515625" customWidth="1"/>
  </cols>
  <sheetData>
    <row r="1" spans="1:16" x14ac:dyDescent="0.25">
      <c r="B1" s="497" t="s">
        <v>9</v>
      </c>
      <c r="C1" s="497"/>
      <c r="D1" s="497"/>
      <c r="E1" s="497"/>
      <c r="F1" s="497"/>
      <c r="G1" s="497"/>
      <c r="H1" s="497"/>
      <c r="I1" s="497"/>
      <c r="J1" s="497"/>
      <c r="K1" s="497"/>
      <c r="L1" s="497"/>
    </row>
    <row r="2" spans="1:16" x14ac:dyDescent="0.25">
      <c r="B2" s="497" t="s">
        <v>10</v>
      </c>
      <c r="C2" s="497"/>
      <c r="D2" s="497"/>
      <c r="E2" s="497"/>
      <c r="F2" s="497"/>
      <c r="G2" s="497"/>
      <c r="H2" s="497"/>
      <c r="I2" s="497"/>
      <c r="J2" s="497"/>
      <c r="K2" s="497"/>
      <c r="L2" s="497"/>
    </row>
    <row r="3" spans="1:16" ht="8.25" customHeight="1" x14ac:dyDescent="0.25">
      <c r="B3" s="1"/>
      <c r="C3" s="1"/>
      <c r="D3" s="1"/>
      <c r="E3" s="1"/>
      <c r="F3" s="1"/>
      <c r="G3" s="1"/>
      <c r="H3" s="1"/>
      <c r="I3" s="1"/>
      <c r="J3" s="1"/>
      <c r="K3" s="1"/>
      <c r="L3" s="1"/>
    </row>
    <row r="4" spans="1:16" x14ac:dyDescent="0.25">
      <c r="B4" s="498" t="s">
        <v>36</v>
      </c>
      <c r="C4" s="498"/>
      <c r="D4" s="498"/>
      <c r="E4" s="498"/>
      <c r="F4" s="498"/>
      <c r="G4" s="498"/>
      <c r="H4" s="498"/>
      <c r="I4" s="498"/>
      <c r="J4" s="498"/>
      <c r="K4" s="498"/>
      <c r="L4" s="498"/>
    </row>
    <row r="5" spans="1:16" x14ac:dyDescent="0.25">
      <c r="B5" s="13"/>
      <c r="C5" s="13"/>
      <c r="D5" s="13"/>
      <c r="E5" s="13"/>
      <c r="F5" s="13"/>
      <c r="G5" s="13"/>
      <c r="H5" s="13"/>
      <c r="I5" s="13"/>
      <c r="J5" s="13"/>
      <c r="K5" s="13"/>
      <c r="L5" s="13"/>
    </row>
    <row r="6" spans="1:16" x14ac:dyDescent="0.25">
      <c r="B6" s="15" t="s">
        <v>11</v>
      </c>
      <c r="C6" s="499" t="s">
        <v>151</v>
      </c>
      <c r="D6" s="499"/>
      <c r="E6" s="499"/>
      <c r="F6" s="499"/>
      <c r="G6" s="499"/>
      <c r="H6" s="499"/>
      <c r="I6" s="499"/>
      <c r="J6" s="499"/>
      <c r="K6" s="499"/>
      <c r="L6" s="500"/>
    </row>
    <row r="7" spans="1:16" ht="15.75" thickBot="1" x14ac:dyDescent="0.3"/>
    <row r="8" spans="1:16" x14ac:dyDescent="0.25">
      <c r="A8" s="507" t="s">
        <v>24</v>
      </c>
      <c r="B8" s="513" t="s">
        <v>8</v>
      </c>
      <c r="C8" s="501">
        <v>2012</v>
      </c>
      <c r="D8" s="502"/>
      <c r="E8" s="503">
        <v>2013</v>
      </c>
      <c r="F8" s="502"/>
      <c r="G8" s="503">
        <v>2014</v>
      </c>
      <c r="H8" s="502"/>
      <c r="I8" s="503">
        <v>2015</v>
      </c>
      <c r="J8" s="502"/>
      <c r="K8" s="501">
        <v>2016</v>
      </c>
      <c r="L8" s="502"/>
    </row>
    <row r="9" spans="1:16"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6" ht="7.5" customHeight="1" x14ac:dyDescent="0.25">
      <c r="C10" s="2"/>
      <c r="D10" s="2"/>
      <c r="E10" s="2"/>
      <c r="F10" s="2"/>
      <c r="G10" s="2"/>
      <c r="H10" s="2"/>
      <c r="I10" s="2"/>
      <c r="J10" s="2"/>
      <c r="K10" s="2"/>
      <c r="L10" s="2"/>
      <c r="M10" s="2"/>
    </row>
    <row r="11" spans="1:16" x14ac:dyDescent="0.25">
      <c r="A11" s="511" t="s">
        <v>7</v>
      </c>
      <c r="B11" s="512"/>
      <c r="C11" s="10"/>
      <c r="D11" s="8"/>
      <c r="E11" s="7"/>
      <c r="F11" s="8"/>
      <c r="G11" s="7"/>
      <c r="H11" s="8"/>
      <c r="I11" s="7"/>
      <c r="J11" s="8"/>
      <c r="K11" s="7"/>
      <c r="L11" s="9"/>
    </row>
    <row r="12" spans="1:16" ht="35.25" customHeight="1" x14ac:dyDescent="0.25">
      <c r="A12" s="40">
        <v>1</v>
      </c>
      <c r="B12" s="31" t="s">
        <v>6</v>
      </c>
      <c r="C12" s="91">
        <v>837745000</v>
      </c>
      <c r="D12" s="201">
        <v>33040000</v>
      </c>
      <c r="E12" s="99">
        <v>792706000</v>
      </c>
      <c r="F12" s="201">
        <v>19114000</v>
      </c>
      <c r="G12" s="99">
        <v>1052297000</v>
      </c>
      <c r="H12" s="201">
        <v>35854000</v>
      </c>
      <c r="I12" s="99">
        <v>1119652000</v>
      </c>
      <c r="J12" s="201">
        <v>39579000</v>
      </c>
      <c r="K12" s="99">
        <v>1258887000</v>
      </c>
      <c r="L12" s="201">
        <v>48443000</v>
      </c>
      <c r="O12" s="203">
        <v>268</v>
      </c>
      <c r="P12" s="288">
        <f>+O12*4.89</f>
        <v>1310.52</v>
      </c>
    </row>
    <row r="13" spans="1:16" ht="36.75" customHeight="1" x14ac:dyDescent="0.25">
      <c r="A13" s="48" t="s">
        <v>16</v>
      </c>
      <c r="B13" s="30" t="s">
        <v>31</v>
      </c>
      <c r="C13" s="17"/>
      <c r="D13" s="43"/>
      <c r="E13" s="74"/>
      <c r="F13" s="43"/>
      <c r="G13" s="74"/>
      <c r="H13" s="43"/>
      <c r="I13" s="74"/>
      <c r="J13" s="43"/>
      <c r="K13" s="74"/>
      <c r="L13" s="43"/>
      <c r="O13">
        <v>267</v>
      </c>
      <c r="P13" s="289">
        <v>-1307.3</v>
      </c>
    </row>
    <row r="14" spans="1:16" ht="36.75" customHeight="1" x14ac:dyDescent="0.25">
      <c r="A14" s="290" t="s">
        <v>147</v>
      </c>
      <c r="B14" s="291" t="s">
        <v>148</v>
      </c>
      <c r="C14" s="292">
        <v>0.53</v>
      </c>
      <c r="D14" s="293"/>
      <c r="E14" s="292">
        <v>0.48</v>
      </c>
      <c r="F14" s="293"/>
      <c r="G14" s="292">
        <v>0.65</v>
      </c>
      <c r="H14" s="293"/>
      <c r="I14" s="292">
        <v>0.72</v>
      </c>
      <c r="J14" s="293"/>
      <c r="K14" s="292">
        <v>0.76</v>
      </c>
      <c r="L14" s="293"/>
      <c r="P14" s="289"/>
    </row>
    <row r="15" spans="1:16" ht="7.5" customHeight="1" x14ac:dyDescent="0.25">
      <c r="A15" s="29"/>
      <c r="B15" s="3"/>
    </row>
    <row r="16" spans="1:16" x14ac:dyDescent="0.25">
      <c r="A16" s="509" t="s">
        <v>1</v>
      </c>
      <c r="B16" s="510"/>
      <c r="C16" s="10"/>
      <c r="D16" s="8"/>
      <c r="E16" s="7"/>
      <c r="F16" s="8"/>
      <c r="G16" s="7"/>
      <c r="H16" s="8"/>
      <c r="I16" s="7"/>
      <c r="J16" s="8"/>
      <c r="K16" s="7"/>
      <c r="L16" s="9"/>
    </row>
    <row r="17" spans="1:17" ht="33" customHeight="1" x14ac:dyDescent="0.25">
      <c r="A17" s="40">
        <v>2</v>
      </c>
      <c r="B17" s="31" t="s">
        <v>5</v>
      </c>
      <c r="C17" s="19" t="s">
        <v>67</v>
      </c>
      <c r="D17" s="12" t="s">
        <v>67</v>
      </c>
      <c r="E17" s="20" t="s">
        <v>67</v>
      </c>
      <c r="F17" s="210">
        <v>1200000</v>
      </c>
      <c r="G17" s="20" t="s">
        <v>67</v>
      </c>
      <c r="H17" s="210">
        <v>2400000</v>
      </c>
      <c r="I17" s="20" t="s">
        <v>67</v>
      </c>
      <c r="J17" s="210">
        <v>3600000</v>
      </c>
      <c r="K17" s="20" t="s">
        <v>67</v>
      </c>
      <c r="L17" s="210">
        <v>4800000</v>
      </c>
      <c r="P17">
        <f>+P13/O13*100</f>
        <v>-489.62546816479397</v>
      </c>
    </row>
    <row r="18" spans="1:17" ht="36" customHeight="1" x14ac:dyDescent="0.25">
      <c r="A18" s="48" t="s">
        <v>17</v>
      </c>
      <c r="B18" s="30" t="s">
        <v>30</v>
      </c>
      <c r="C18" s="17"/>
      <c r="D18" s="6"/>
      <c r="E18" s="18"/>
      <c r="F18" s="294">
        <v>2.69E-2</v>
      </c>
      <c r="G18" s="18"/>
      <c r="H18" s="294">
        <v>2.69E-2</v>
      </c>
      <c r="I18" s="18"/>
      <c r="J18" s="294">
        <v>2.69E-2</v>
      </c>
      <c r="K18" s="18"/>
      <c r="L18" s="294">
        <v>2.69E-2</v>
      </c>
    </row>
    <row r="19" spans="1:17" ht="18" customHeight="1" x14ac:dyDescent="0.25">
      <c r="A19" s="40">
        <v>3</v>
      </c>
      <c r="B19" s="31" t="s">
        <v>12</v>
      </c>
      <c r="C19" s="19" t="s">
        <v>67</v>
      </c>
      <c r="D19" s="210" t="s">
        <v>67</v>
      </c>
      <c r="E19" s="20" t="s">
        <v>67</v>
      </c>
      <c r="F19" s="210">
        <v>1200000</v>
      </c>
      <c r="G19" s="20" t="s">
        <v>67</v>
      </c>
      <c r="H19" s="210">
        <v>2400000</v>
      </c>
      <c r="I19" s="20" t="s">
        <v>67</v>
      </c>
      <c r="J19" s="210">
        <v>3600000</v>
      </c>
      <c r="K19" s="20" t="s">
        <v>67</v>
      </c>
      <c r="L19" s="210">
        <v>4800000</v>
      </c>
    </row>
    <row r="20" spans="1:17" ht="36" customHeight="1" x14ac:dyDescent="0.25">
      <c r="A20" s="49" t="s">
        <v>37</v>
      </c>
      <c r="B20" s="32" t="s">
        <v>35</v>
      </c>
      <c r="C20" s="19"/>
      <c r="D20" s="12"/>
      <c r="E20" s="20"/>
      <c r="F20" s="12"/>
      <c r="G20" s="20"/>
      <c r="H20" s="12"/>
      <c r="I20" s="20"/>
      <c r="J20" s="12"/>
      <c r="K20" s="20"/>
      <c r="L20" s="12"/>
      <c r="P20" s="295">
        <f>1159.2/208.5*100</f>
        <v>555.97122302158277</v>
      </c>
    </row>
    <row r="21" spans="1:17" ht="18" customHeight="1" x14ac:dyDescent="0.25">
      <c r="A21" s="50" t="s">
        <v>41</v>
      </c>
      <c r="B21" s="32" t="s">
        <v>26</v>
      </c>
      <c r="C21" s="19"/>
      <c r="D21" s="12"/>
      <c r="E21" s="20"/>
      <c r="F21" s="12"/>
      <c r="G21" s="20"/>
      <c r="H21" s="12"/>
      <c r="I21" s="20"/>
      <c r="J21" s="12"/>
      <c r="K21" s="20"/>
      <c r="L21" s="12"/>
    </row>
    <row r="22" spans="1:17" ht="33" customHeight="1" x14ac:dyDescent="0.25">
      <c r="A22" s="50" t="s">
        <v>18</v>
      </c>
      <c r="B22" s="32" t="s">
        <v>28</v>
      </c>
      <c r="C22" s="19"/>
      <c r="D22" s="12"/>
      <c r="E22" s="20"/>
      <c r="F22" s="210">
        <v>1200000</v>
      </c>
      <c r="G22" s="20"/>
      <c r="H22" s="210">
        <v>2400000</v>
      </c>
      <c r="I22" s="20"/>
      <c r="J22" s="210">
        <v>3600000</v>
      </c>
      <c r="K22" s="20"/>
      <c r="L22" s="210">
        <v>4800000</v>
      </c>
      <c r="P22">
        <f>1088.2/117.1*100</f>
        <v>929.29120409906079</v>
      </c>
    </row>
    <row r="23" spans="1:17" ht="18.75" customHeight="1" x14ac:dyDescent="0.25">
      <c r="A23" s="51" t="s">
        <v>25</v>
      </c>
      <c r="B23" s="30" t="s">
        <v>29</v>
      </c>
      <c r="C23" s="17"/>
      <c r="D23" s="6"/>
      <c r="E23" s="18"/>
      <c r="F23" s="6"/>
      <c r="G23" s="18"/>
      <c r="H23" s="6"/>
      <c r="I23" s="18"/>
      <c r="J23" s="6"/>
      <c r="K23" s="18"/>
      <c r="L23" s="6"/>
    </row>
    <row r="24" spans="1:17" ht="7.5" customHeight="1" x14ac:dyDescent="0.25">
      <c r="A24" s="29"/>
      <c r="B24" s="3"/>
    </row>
    <row r="25" spans="1:17" x14ac:dyDescent="0.25">
      <c r="A25" s="509" t="s">
        <v>13</v>
      </c>
      <c r="B25" s="510"/>
      <c r="C25" s="10"/>
      <c r="D25" s="10"/>
      <c r="E25" s="10"/>
      <c r="F25" s="10"/>
      <c r="G25" s="10"/>
      <c r="H25" s="10"/>
      <c r="I25" s="10"/>
      <c r="J25" s="10"/>
      <c r="K25" s="10"/>
      <c r="L25" s="8"/>
      <c r="O25">
        <v>-90</v>
      </c>
      <c r="P25">
        <v>-811.2</v>
      </c>
      <c r="Q25">
        <f>+P25/O25*100</f>
        <v>901.33333333333337</v>
      </c>
    </row>
    <row r="26" spans="1:17" ht="19.5" customHeight="1" x14ac:dyDescent="0.25">
      <c r="A26" s="40">
        <v>4</v>
      </c>
      <c r="B26" s="44" t="s">
        <v>40</v>
      </c>
      <c r="C26" s="16"/>
      <c r="D26" s="23"/>
      <c r="E26" s="16"/>
      <c r="F26" s="211">
        <v>1200000</v>
      </c>
      <c r="G26" s="16"/>
      <c r="H26" s="211">
        <v>1200000</v>
      </c>
      <c r="I26" s="16"/>
      <c r="J26" s="211">
        <v>1200000</v>
      </c>
      <c r="K26" s="16"/>
      <c r="L26" s="207">
        <v>1200000</v>
      </c>
    </row>
    <row r="27" spans="1:17" ht="19.5" customHeight="1" x14ac:dyDescent="0.25">
      <c r="A27" s="48" t="s">
        <v>19</v>
      </c>
      <c r="B27" s="30" t="s">
        <v>0</v>
      </c>
      <c r="C27" s="17"/>
      <c r="D27" s="24"/>
      <c r="E27" s="17"/>
      <c r="F27" s="24"/>
      <c r="G27" s="17"/>
      <c r="H27" s="24"/>
      <c r="I27" s="17"/>
      <c r="J27" s="24"/>
      <c r="K27" s="17"/>
      <c r="L27" s="6"/>
    </row>
    <row r="28" spans="1:17" ht="39.75" customHeight="1" x14ac:dyDescent="0.25">
      <c r="A28" s="40">
        <v>5</v>
      </c>
      <c r="B28" s="45" t="s">
        <v>38</v>
      </c>
      <c r="C28" s="19" t="s">
        <v>67</v>
      </c>
      <c r="D28" s="12" t="s">
        <v>67</v>
      </c>
      <c r="E28" s="20" t="s">
        <v>67</v>
      </c>
      <c r="F28" s="12" t="s">
        <v>67</v>
      </c>
      <c r="G28" s="20" t="s">
        <v>67</v>
      </c>
      <c r="H28" s="12" t="s">
        <v>67</v>
      </c>
      <c r="I28" s="20" t="s">
        <v>67</v>
      </c>
      <c r="J28" s="12" t="s">
        <v>67</v>
      </c>
      <c r="K28" s="20" t="s">
        <v>67</v>
      </c>
      <c r="L28" s="12" t="s">
        <v>67</v>
      </c>
    </row>
    <row r="29" spans="1:17" ht="48" customHeight="1" x14ac:dyDescent="0.25">
      <c r="A29" s="49" t="s">
        <v>20</v>
      </c>
      <c r="B29" s="34" t="s">
        <v>42</v>
      </c>
      <c r="C29" s="22"/>
      <c r="D29" s="26"/>
      <c r="E29" s="22"/>
      <c r="F29" s="26"/>
      <c r="G29" s="22"/>
      <c r="H29" s="26"/>
      <c r="I29" s="22"/>
      <c r="J29" s="26"/>
      <c r="K29" s="22"/>
      <c r="L29" s="27"/>
    </row>
    <row r="30" spans="1:17" ht="36" customHeight="1" x14ac:dyDescent="0.25">
      <c r="A30" s="49" t="s">
        <v>21</v>
      </c>
      <c r="B30" s="34" t="s">
        <v>34</v>
      </c>
      <c r="C30" s="296">
        <v>53200000</v>
      </c>
      <c r="D30" s="297"/>
      <c r="E30" s="296">
        <v>54500000</v>
      </c>
      <c r="F30" s="297"/>
      <c r="G30" s="296">
        <v>58400000</v>
      </c>
      <c r="H30" s="297"/>
      <c r="I30" s="296">
        <v>61600000</v>
      </c>
      <c r="J30" s="297"/>
      <c r="K30" s="296">
        <v>61400000</v>
      </c>
      <c r="L30" s="298"/>
    </row>
    <row r="31" spans="1:17" ht="66" customHeight="1" x14ac:dyDescent="0.25">
      <c r="A31" s="48" t="s">
        <v>22</v>
      </c>
      <c r="B31" s="35" t="s">
        <v>15</v>
      </c>
      <c r="C31" s="523" t="s">
        <v>149</v>
      </c>
      <c r="D31" s="524"/>
      <c r="E31" s="524"/>
      <c r="F31" s="524"/>
      <c r="G31" s="524"/>
      <c r="H31" s="524"/>
      <c r="I31" s="524"/>
      <c r="J31" s="524"/>
      <c r="K31" s="524"/>
      <c r="L31" s="525"/>
    </row>
    <row r="32" spans="1:17" ht="18" customHeight="1" x14ac:dyDescent="0.25">
      <c r="A32" s="40">
        <v>6</v>
      </c>
      <c r="B32" s="33" t="s">
        <v>14</v>
      </c>
      <c r="C32" s="28" t="s">
        <v>67</v>
      </c>
      <c r="D32" s="23" t="s">
        <v>67</v>
      </c>
      <c r="E32" s="16" t="s">
        <v>67</v>
      </c>
      <c r="F32" s="23" t="s">
        <v>67</v>
      </c>
      <c r="G32" s="16" t="s">
        <v>67</v>
      </c>
      <c r="H32" s="23" t="s">
        <v>67</v>
      </c>
      <c r="I32" s="16" t="s">
        <v>67</v>
      </c>
      <c r="J32" s="23" t="s">
        <v>67</v>
      </c>
      <c r="K32" s="16" t="s">
        <v>67</v>
      </c>
      <c r="L32" s="23" t="s">
        <v>67</v>
      </c>
    </row>
    <row r="33" spans="1:13" ht="33.75" customHeight="1" x14ac:dyDescent="0.25">
      <c r="A33" s="48" t="s">
        <v>23</v>
      </c>
      <c r="B33" s="46" t="s">
        <v>39</v>
      </c>
      <c r="C33" s="522"/>
      <c r="D33" s="505"/>
      <c r="E33" s="505"/>
      <c r="F33" s="505"/>
      <c r="G33" s="505"/>
      <c r="H33" s="505"/>
      <c r="I33" s="505"/>
      <c r="J33" s="505"/>
      <c r="K33" s="505"/>
      <c r="L33" s="506"/>
    </row>
    <row r="34" spans="1:13" ht="7.5" customHeight="1" x14ac:dyDescent="0.25">
      <c r="A34" s="29"/>
      <c r="B34" s="3"/>
    </row>
    <row r="35" spans="1:13" ht="15" customHeight="1" x14ac:dyDescent="0.25">
      <c r="A35" s="509" t="s">
        <v>2</v>
      </c>
      <c r="B35" s="510"/>
      <c r="C35" s="10"/>
      <c r="D35" s="8"/>
      <c r="E35" s="7"/>
      <c r="F35" s="8"/>
      <c r="G35" s="7"/>
      <c r="H35" s="8"/>
      <c r="I35" s="7"/>
      <c r="J35" s="8"/>
      <c r="K35" s="7"/>
      <c r="L35" s="8"/>
    </row>
    <row r="36" spans="1:13" x14ac:dyDescent="0.25">
      <c r="A36" s="39">
        <v>7</v>
      </c>
      <c r="B36" s="33" t="s">
        <v>3</v>
      </c>
      <c r="C36" s="526" t="s">
        <v>150</v>
      </c>
      <c r="D36" s="521"/>
      <c r="E36" s="526" t="s">
        <v>150</v>
      </c>
      <c r="F36" s="521"/>
      <c r="G36" s="526" t="s">
        <v>150</v>
      </c>
      <c r="H36" s="521"/>
      <c r="I36" s="526" t="s">
        <v>150</v>
      </c>
      <c r="J36" s="521"/>
      <c r="K36" s="526" t="s">
        <v>150</v>
      </c>
      <c r="L36" s="521"/>
    </row>
    <row r="37" spans="1:13" x14ac:dyDescent="0.25">
      <c r="A37" s="39">
        <v>8</v>
      </c>
      <c r="B37" s="36" t="s">
        <v>4</v>
      </c>
      <c r="C37" s="536">
        <v>37000</v>
      </c>
      <c r="D37" s="489"/>
      <c r="E37" s="488">
        <v>27000</v>
      </c>
      <c r="F37" s="489"/>
      <c r="G37" s="488">
        <v>27000</v>
      </c>
      <c r="H37" s="489"/>
      <c r="I37" s="488">
        <v>27000</v>
      </c>
      <c r="J37" s="489"/>
      <c r="K37" s="488">
        <f>44000-6000</f>
        <v>38000</v>
      </c>
      <c r="L37" s="489"/>
    </row>
    <row r="38" spans="1:13" ht="15.75" thickBot="1" x14ac:dyDescent="0.3">
      <c r="A38" s="63">
        <v>9</v>
      </c>
      <c r="B38" s="37" t="s">
        <v>44</v>
      </c>
      <c r="C38" s="486" t="s">
        <v>76</v>
      </c>
      <c r="D38" s="487"/>
      <c r="E38" s="490" t="s">
        <v>76</v>
      </c>
      <c r="F38" s="487"/>
      <c r="G38" s="490" t="s">
        <v>76</v>
      </c>
      <c r="H38" s="487"/>
      <c r="I38" s="490" t="s">
        <v>76</v>
      </c>
      <c r="J38" s="487"/>
      <c r="K38" s="490" t="s">
        <v>76</v>
      </c>
      <c r="L38" s="487"/>
    </row>
    <row r="39" spans="1:13" ht="14.25" customHeight="1" x14ac:dyDescent="0.25">
      <c r="A39" s="41"/>
      <c r="B39" s="491"/>
      <c r="C39" s="491"/>
      <c r="D39" s="491"/>
      <c r="E39" s="491"/>
      <c r="F39" s="491"/>
      <c r="G39" s="491"/>
      <c r="H39" s="491"/>
      <c r="I39" s="491"/>
      <c r="J39" s="491"/>
      <c r="K39" s="491"/>
      <c r="L39" s="491"/>
      <c r="M39" s="42"/>
    </row>
    <row r="40" spans="1:13" ht="18" customHeight="1" x14ac:dyDescent="0.25">
      <c r="B40" s="484" t="s">
        <v>33</v>
      </c>
      <c r="C40" s="484"/>
      <c r="D40" s="484"/>
      <c r="E40" s="484"/>
      <c r="F40" s="484"/>
      <c r="G40" s="484"/>
      <c r="H40" s="484"/>
      <c r="I40" s="484"/>
      <c r="J40" s="484"/>
      <c r="K40" s="484"/>
      <c r="L40" s="484"/>
    </row>
    <row r="41" spans="1:13" ht="30.75" customHeight="1" x14ac:dyDescent="0.25">
      <c r="B41" s="485" t="s">
        <v>43</v>
      </c>
      <c r="C41" s="485"/>
      <c r="D41" s="485"/>
      <c r="E41" s="485"/>
      <c r="F41" s="485"/>
      <c r="G41" s="485"/>
      <c r="H41" s="485"/>
      <c r="I41" s="485"/>
      <c r="J41" s="485"/>
      <c r="K41" s="485"/>
      <c r="L41" s="485"/>
    </row>
    <row r="42" spans="1:13" x14ac:dyDescent="0.25">
      <c r="B42" s="3"/>
    </row>
    <row r="43" spans="1:13" x14ac:dyDescent="0.25">
      <c r="B43" s="3"/>
    </row>
    <row r="44" spans="1:13" x14ac:dyDescent="0.25">
      <c r="B44" s="3"/>
    </row>
    <row r="45" spans="1:13" x14ac:dyDescent="0.25">
      <c r="B45" s="3"/>
      <c r="C45" s="289"/>
      <c r="E45" s="289"/>
      <c r="G45" s="289"/>
      <c r="I45" s="289"/>
      <c r="K45" s="289"/>
    </row>
    <row r="46" spans="1:13" x14ac:dyDescent="0.25">
      <c r="B46" s="3"/>
    </row>
    <row r="47" spans="1:13" x14ac:dyDescent="0.25">
      <c r="C47" s="132"/>
      <c r="E47" s="132"/>
      <c r="G47" s="132"/>
      <c r="I47" s="132"/>
      <c r="K47" s="132"/>
    </row>
    <row r="49" spans="2:11" x14ac:dyDescent="0.25">
      <c r="B49" s="3"/>
    </row>
    <row r="50" spans="2:11" x14ac:dyDescent="0.25">
      <c r="B50" s="3"/>
      <c r="C50" s="289"/>
      <c r="E50" s="289"/>
      <c r="G50" s="289"/>
      <c r="I50" s="289"/>
      <c r="K50" s="289"/>
    </row>
    <row r="51" spans="2:11" x14ac:dyDescent="0.25">
      <c r="C51" s="132"/>
      <c r="D51" s="132"/>
      <c r="E51" s="132"/>
      <c r="F51" s="132"/>
      <c r="G51" s="132"/>
      <c r="H51" s="132"/>
      <c r="I51" s="132"/>
      <c r="J51" s="132"/>
      <c r="K51" s="132"/>
    </row>
  </sheetData>
  <mergeCells count="35">
    <mergeCell ref="B39:L39"/>
    <mergeCell ref="B40:L40"/>
    <mergeCell ref="B41:L41"/>
    <mergeCell ref="C37:D37"/>
    <mergeCell ref="E37:F37"/>
    <mergeCell ref="G37:H37"/>
    <mergeCell ref="I37:J37"/>
    <mergeCell ref="K37:L37"/>
    <mergeCell ref="C38:D38"/>
    <mergeCell ref="E38:F38"/>
    <mergeCell ref="G38:H38"/>
    <mergeCell ref="I38:J38"/>
    <mergeCell ref="K38:L38"/>
    <mergeCell ref="K36:L36"/>
    <mergeCell ref="K8:L8"/>
    <mergeCell ref="A11:B11"/>
    <mergeCell ref="A16:B16"/>
    <mergeCell ref="A25:B25"/>
    <mergeCell ref="C31:L31"/>
    <mergeCell ref="C33:L33"/>
    <mergeCell ref="A35:B35"/>
    <mergeCell ref="C36:D36"/>
    <mergeCell ref="E36:F36"/>
    <mergeCell ref="G36:H36"/>
    <mergeCell ref="I36:J36"/>
    <mergeCell ref="B1:L1"/>
    <mergeCell ref="B2:L2"/>
    <mergeCell ref="B4:L4"/>
    <mergeCell ref="C6:L6"/>
    <mergeCell ref="A8:A9"/>
    <mergeCell ref="B8:B9"/>
    <mergeCell ref="C8:D8"/>
    <mergeCell ref="E8:F8"/>
    <mergeCell ref="G8:H8"/>
    <mergeCell ref="I8:J8"/>
  </mergeCells>
  <pageMargins left="0" right="0" top="0.74803149606299213" bottom="0.74803149606299213" header="0.31496062992125984" footer="0.31496062992125984"/>
  <pageSetup scale="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16" zoomScale="85" zoomScaleNormal="85" workbookViewId="0"/>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635" t="s">
        <v>152</v>
      </c>
      <c r="D6" s="547"/>
      <c r="E6" s="547"/>
      <c r="F6" s="547"/>
      <c r="G6" s="547"/>
      <c r="H6" s="547"/>
      <c r="I6" s="547"/>
      <c r="J6" s="547"/>
      <c r="K6" s="547"/>
      <c r="L6" s="548"/>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52">
        <f>-'[2]Working (EUR)'!C12/'[2]Working (EUR)'!C7</f>
        <v>157824310.132626</v>
      </c>
      <c r="D12" s="299">
        <f>-'[2]Working (EUR)'!D12/'[2]Working (EUR)'!C7</f>
        <v>41372424.681697607</v>
      </c>
      <c r="E12" s="300">
        <f>-'[2]Working (EUR)'!E12/'[2]Working (EUR)'!E7</f>
        <v>166846716.51034483</v>
      </c>
      <c r="F12" s="299">
        <f>-'[2]Working (EUR)'!F12/'[2]Working (EUR)'!E7</f>
        <v>40356220.317241363</v>
      </c>
      <c r="G12" s="300">
        <f>-'[2]Working (EUR)'!G12/'[2]Working (EUR)'!G7</f>
        <v>190857786.42682928</v>
      </c>
      <c r="H12" s="299">
        <f>-'[2]Working (EUR)'!H12/'[2]Working (EUR)'!G7</f>
        <v>56455829.524390258</v>
      </c>
      <c r="I12" s="300">
        <f>-'[2]Working (EUR)'!I12/'[2]Working (EUR)'!I7</f>
        <v>165853696.08315098</v>
      </c>
      <c r="J12" s="299">
        <f>-'[2]Working (EUR)'!J12/'[2]Working (EUR)'!I7</f>
        <v>43322395.229759276</v>
      </c>
      <c r="K12" s="300">
        <f>-'[2]Working (EUR)'!K12/'[2]Working (EUR)'!K7</f>
        <v>183149164.78033474</v>
      </c>
      <c r="L12" s="299">
        <f>-'[2]Working (EUR)'!L12/'[2]Working (EUR)'!K7</f>
        <v>59022029.372384921</v>
      </c>
    </row>
    <row r="13" spans="1:13" ht="36.75" customHeight="1" x14ac:dyDescent="0.25">
      <c r="A13" s="48" t="s">
        <v>16</v>
      </c>
      <c r="B13" s="30" t="s">
        <v>31</v>
      </c>
      <c r="C13" s="301">
        <f>(-'[2]Working (EUR)'!C12-'[2]Working (EUR)'!D12)/'[2]Working (EUR)'!C14</f>
        <v>0.55023758942155843</v>
      </c>
      <c r="D13" s="302"/>
      <c r="E13" s="301">
        <f>(-'[2]Working (EUR)'!E12-'[2]Working (EUR)'!F12)/'[2]Working (EUR)'!E14</f>
        <v>0.65403201933768762</v>
      </c>
      <c r="F13" s="302"/>
      <c r="G13" s="301">
        <f>(-'[2]Working (EUR)'!G12-'[2]Working (EUR)'!H12)/'[2]Working (EUR)'!G14</f>
        <v>0.82444909963858704</v>
      </c>
      <c r="H13" s="302"/>
      <c r="I13" s="301">
        <f>(-'[2]Working (EUR)'!I12-'[2]Working (EUR)'!J12)/'[2]Working (EUR)'!I14</f>
        <v>0.52482506227232917</v>
      </c>
      <c r="J13" s="302"/>
      <c r="K13" s="301">
        <f>(-'[2]Working (EUR)'!K12-'[2]Working (EUR)'!L12)/'[2]Working (EUR)'!K14</f>
        <v>0.55847059751105399</v>
      </c>
      <c r="L13" s="302"/>
    </row>
    <row r="14" spans="1:13" ht="19.5" customHeight="1" x14ac:dyDescent="0.25">
      <c r="A14" s="29"/>
      <c r="B14" s="303"/>
      <c r="C14" s="304"/>
      <c r="D14" s="304"/>
      <c r="E14" s="304"/>
      <c r="F14" s="304"/>
      <c r="G14" s="304"/>
      <c r="H14" s="304"/>
      <c r="I14" s="304"/>
      <c r="J14" s="304"/>
      <c r="K14" s="304"/>
      <c r="L14" s="304"/>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v>0</v>
      </c>
      <c r="D16" s="11">
        <v>0</v>
      </c>
      <c r="E16" s="65">
        <v>0</v>
      </c>
      <c r="F16" s="11">
        <v>0</v>
      </c>
      <c r="G16" s="65">
        <v>0</v>
      </c>
      <c r="H16" s="11">
        <v>0</v>
      </c>
      <c r="I16" s="65">
        <v>0</v>
      </c>
      <c r="J16" s="11">
        <v>0</v>
      </c>
      <c r="K16" s="65">
        <v>0</v>
      </c>
      <c r="L16" s="11">
        <v>0</v>
      </c>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19">
        <v>0</v>
      </c>
      <c r="D18" s="12">
        <v>0</v>
      </c>
      <c r="E18" s="20">
        <v>0</v>
      </c>
      <c r="F18" s="12">
        <v>0</v>
      </c>
      <c r="G18" s="20">
        <v>0</v>
      </c>
      <c r="H18" s="12">
        <v>0</v>
      </c>
      <c r="I18" s="20">
        <v>0</v>
      </c>
      <c r="J18" s="12">
        <v>0</v>
      </c>
      <c r="K18" s="20">
        <v>0</v>
      </c>
      <c r="L18" s="12">
        <v>0</v>
      </c>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v>0</v>
      </c>
      <c r="D25" s="23">
        <v>0</v>
      </c>
      <c r="E25" s="16">
        <v>0</v>
      </c>
      <c r="F25" s="23">
        <v>0</v>
      </c>
      <c r="G25" s="16">
        <v>0</v>
      </c>
      <c r="H25" s="23">
        <v>0</v>
      </c>
      <c r="I25" s="16">
        <v>0</v>
      </c>
      <c r="J25" s="23">
        <v>0</v>
      </c>
      <c r="K25" s="16">
        <v>0</v>
      </c>
      <c r="L25" s="11">
        <v>0</v>
      </c>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v>0</v>
      </c>
      <c r="D27" s="25">
        <v>0</v>
      </c>
      <c r="E27" s="21">
        <v>0</v>
      </c>
      <c r="F27" s="25">
        <v>0</v>
      </c>
      <c r="G27" s="21">
        <v>0</v>
      </c>
      <c r="H27" s="25">
        <v>0</v>
      </c>
      <c r="I27" s="21">
        <v>0</v>
      </c>
      <c r="J27" s="25">
        <v>0</v>
      </c>
      <c r="K27" s="21">
        <v>0</v>
      </c>
      <c r="L27" s="5">
        <v>0</v>
      </c>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v>0</v>
      </c>
      <c r="D31" s="23">
        <v>0</v>
      </c>
      <c r="E31" s="16">
        <v>0</v>
      </c>
      <c r="F31" s="23">
        <v>0</v>
      </c>
      <c r="G31" s="16">
        <v>0</v>
      </c>
      <c r="H31" s="23">
        <v>0</v>
      </c>
      <c r="I31" s="16">
        <v>0</v>
      </c>
      <c r="J31" s="23">
        <v>0</v>
      </c>
      <c r="K31" s="16">
        <v>0</v>
      </c>
      <c r="L31" s="23">
        <v>0</v>
      </c>
    </row>
    <row r="32" spans="1:12" ht="33.75" customHeight="1" x14ac:dyDescent="0.25">
      <c r="A32" s="48" t="s">
        <v>23</v>
      </c>
      <c r="B32" s="46" t="s">
        <v>39</v>
      </c>
      <c r="C32" s="522" t="s">
        <v>153</v>
      </c>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154</v>
      </c>
      <c r="D35" s="521"/>
      <c r="E35" s="526" t="s">
        <v>154</v>
      </c>
      <c r="F35" s="521"/>
      <c r="G35" s="526" t="s">
        <v>154</v>
      </c>
      <c r="H35" s="521"/>
      <c r="I35" s="526" t="s">
        <v>154</v>
      </c>
      <c r="J35" s="521"/>
      <c r="K35" s="526" t="s">
        <v>154</v>
      </c>
      <c r="L35" s="521"/>
    </row>
    <row r="36" spans="1:13" x14ac:dyDescent="0.25">
      <c r="A36" s="39">
        <v>8</v>
      </c>
      <c r="B36" s="36" t="s">
        <v>4</v>
      </c>
      <c r="C36" s="633">
        <v>20418</v>
      </c>
      <c r="D36" s="634"/>
      <c r="E36" s="633">
        <v>21699</v>
      </c>
      <c r="F36" s="634"/>
      <c r="G36" s="633">
        <v>17671</v>
      </c>
      <c r="H36" s="634"/>
      <c r="I36" s="633">
        <v>18806</v>
      </c>
      <c r="J36" s="634"/>
      <c r="K36" s="633">
        <v>17465</v>
      </c>
      <c r="L36" s="634"/>
    </row>
    <row r="37" spans="1:13" ht="15.75" thickBot="1" x14ac:dyDescent="0.3">
      <c r="A37" s="98">
        <v>9</v>
      </c>
      <c r="B37" s="37" t="s">
        <v>44</v>
      </c>
      <c r="C37" s="486" t="s">
        <v>76</v>
      </c>
      <c r="D37" s="487"/>
      <c r="E37" s="486" t="s">
        <v>76</v>
      </c>
      <c r="F37" s="487"/>
      <c r="G37" s="486" t="s">
        <v>76</v>
      </c>
      <c r="H37" s="487"/>
      <c r="I37" s="486" t="s">
        <v>76</v>
      </c>
      <c r="J37" s="487"/>
      <c r="K37" s="486" t="s">
        <v>76</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5">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5" zoomScaleNormal="85" workbookViewId="0">
      <selection activeCell="I16" sqref="I16"/>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 min="14" max="14" width="10.2851562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c r="D6" s="499"/>
      <c r="E6" s="499"/>
      <c r="F6" s="499"/>
      <c r="G6" s="499"/>
      <c r="H6" s="499"/>
      <c r="I6" s="499"/>
      <c r="J6" s="499"/>
      <c r="K6" s="499"/>
      <c r="L6" s="500"/>
    </row>
    <row r="7" spans="1:13" ht="15.75" thickBot="1" x14ac:dyDescent="0.3">
      <c r="B7" s="305" t="s">
        <v>155</v>
      </c>
      <c r="C7" s="306">
        <v>0.754</v>
      </c>
      <c r="D7" s="306"/>
      <c r="E7" s="306">
        <v>0.72499999999999998</v>
      </c>
      <c r="F7" s="306"/>
      <c r="G7" s="307">
        <v>0.82</v>
      </c>
      <c r="H7" s="306"/>
      <c r="I7" s="306">
        <v>0.91400000000000003</v>
      </c>
      <c r="J7" s="306"/>
      <c r="K7" s="306">
        <v>0.95599999999999996</v>
      </c>
      <c r="L7" s="306"/>
    </row>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156</v>
      </c>
      <c r="C12" s="52">
        <v>-118999529.84</v>
      </c>
      <c r="D12" s="299">
        <v>-31194808.209999993</v>
      </c>
      <c r="E12" s="300">
        <v>-120963869.47</v>
      </c>
      <c r="F12" s="299">
        <v>-29258259.729999989</v>
      </c>
      <c r="G12" s="300">
        <v>-156503384.87</v>
      </c>
      <c r="H12" s="299">
        <v>-46293780.210000008</v>
      </c>
      <c r="I12" s="300">
        <v>-151590278.22</v>
      </c>
      <c r="J12" s="299">
        <v>-39596669.23999998</v>
      </c>
      <c r="K12" s="52">
        <v>-175090601.53</v>
      </c>
      <c r="L12" s="299">
        <v>-56425060.079999983</v>
      </c>
    </row>
    <row r="13" spans="1:13" ht="36.75" customHeight="1" x14ac:dyDescent="0.25">
      <c r="A13" s="48" t="s">
        <v>16</v>
      </c>
      <c r="B13" s="30" t="s">
        <v>31</v>
      </c>
      <c r="C13" s="308"/>
      <c r="D13" s="302"/>
      <c r="E13" s="309"/>
      <c r="F13" s="302"/>
      <c r="G13" s="309"/>
      <c r="H13" s="302"/>
      <c r="I13" s="309"/>
      <c r="J13" s="302"/>
      <c r="K13" s="309"/>
      <c r="L13" s="302"/>
    </row>
    <row r="14" spans="1:13" ht="19.5" customHeight="1" x14ac:dyDescent="0.25">
      <c r="A14" s="310"/>
      <c r="B14" s="311" t="s">
        <v>157</v>
      </c>
      <c r="C14" s="312">
        <v>272962700</v>
      </c>
      <c r="D14" s="312"/>
      <c r="E14" s="312">
        <v>229686200</v>
      </c>
      <c r="F14" s="312"/>
      <c r="G14" s="312">
        <v>245979000</v>
      </c>
      <c r="H14" s="312"/>
      <c r="I14" s="312">
        <v>364287000</v>
      </c>
      <c r="J14" s="312"/>
      <c r="K14" s="312">
        <v>414553000</v>
      </c>
      <c r="L14" s="312"/>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c r="D16" s="11"/>
      <c r="E16" s="65"/>
      <c r="F16" s="11"/>
      <c r="G16" s="65"/>
      <c r="H16" s="11"/>
      <c r="I16" s="65"/>
      <c r="J16" s="11"/>
      <c r="K16" s="65"/>
      <c r="L16" s="11"/>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19"/>
      <c r="D18" s="12"/>
      <c r="E18" s="20"/>
      <c r="F18" s="12"/>
      <c r="G18" s="20"/>
      <c r="H18" s="12"/>
      <c r="I18" s="20"/>
      <c r="J18" s="12"/>
      <c r="K18" s="20"/>
      <c r="L18" s="12"/>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c r="D25" s="23"/>
      <c r="E25" s="16"/>
      <c r="F25" s="23"/>
      <c r="G25" s="16"/>
      <c r="H25" s="23"/>
      <c r="I25" s="16"/>
      <c r="J25" s="23"/>
      <c r="K25" s="16"/>
      <c r="L25" s="11"/>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c r="D27" s="25"/>
      <c r="E27" s="21"/>
      <c r="F27" s="25"/>
      <c r="G27" s="21"/>
      <c r="H27" s="25"/>
      <c r="I27" s="21"/>
      <c r="J27" s="25"/>
      <c r="K27" s="21"/>
      <c r="L27" s="5"/>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c r="D31" s="23"/>
      <c r="E31" s="16"/>
      <c r="F31" s="23"/>
      <c r="G31" s="16"/>
      <c r="H31" s="23"/>
      <c r="I31" s="16"/>
      <c r="J31" s="23"/>
      <c r="K31" s="16"/>
      <c r="L31" s="23"/>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c r="D35" s="521"/>
      <c r="E35" s="520"/>
      <c r="F35" s="521"/>
      <c r="G35" s="520"/>
      <c r="H35" s="521"/>
      <c r="I35" s="520"/>
      <c r="J35" s="521"/>
      <c r="K35" s="520"/>
      <c r="L35" s="521"/>
    </row>
    <row r="36" spans="1:13" x14ac:dyDescent="0.25">
      <c r="A36" s="39">
        <v>8</v>
      </c>
      <c r="B36" s="36" t="s">
        <v>158</v>
      </c>
      <c r="C36" s="536">
        <v>15600</v>
      </c>
      <c r="D36" s="489"/>
      <c r="E36" s="488">
        <v>15992</v>
      </c>
      <c r="F36" s="489"/>
      <c r="G36" s="488">
        <v>16310</v>
      </c>
      <c r="H36" s="489"/>
      <c r="I36" s="488">
        <v>16587</v>
      </c>
      <c r="J36" s="489"/>
      <c r="K36" s="488">
        <v>16470</v>
      </c>
      <c r="L36" s="489"/>
    </row>
    <row r="37" spans="1:13" ht="15.75" thickBot="1" x14ac:dyDescent="0.3">
      <c r="A37" s="98">
        <v>9</v>
      </c>
      <c r="B37" s="37" t="s">
        <v>44</v>
      </c>
      <c r="C37" s="486"/>
      <c r="D37" s="487"/>
      <c r="E37" s="490"/>
      <c r="F37" s="487"/>
      <c r="G37" s="490"/>
      <c r="H37" s="487"/>
      <c r="I37" s="490"/>
      <c r="J37" s="487"/>
      <c r="K37" s="490"/>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5">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5" zoomScaleNormal="85" workbookViewId="0">
      <selection activeCell="Q13" sqref="Q13"/>
    </sheetView>
  </sheetViews>
  <sheetFormatPr defaultRowHeight="15" x14ac:dyDescent="0.25"/>
  <cols>
    <col min="1" max="1" width="5.5703125" customWidth="1"/>
    <col min="2" max="2" width="52.140625" customWidth="1"/>
    <col min="3" max="3" width="17.42578125" customWidth="1"/>
    <col min="4" max="4" width="14" customWidth="1"/>
    <col min="5" max="5" width="16.5703125" customWidth="1"/>
    <col min="6" max="6" width="16.140625" customWidth="1"/>
    <col min="7" max="7" width="20.7109375" customWidth="1"/>
    <col min="8" max="8" width="13.5703125" customWidth="1"/>
    <col min="9" max="9" width="17" customWidth="1"/>
    <col min="10" max="10" width="14.140625" customWidth="1"/>
    <col min="11" max="11" width="17.85546875" customWidth="1"/>
    <col min="12" max="12" width="13.7109375" customWidth="1"/>
    <col min="13" max="13" width="34.855468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172</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c r="M8" s="313" t="s">
        <v>159</v>
      </c>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314"/>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10"/>
      <c r="M11" s="315"/>
    </row>
    <row r="12" spans="1:13" ht="35.25" customHeight="1" x14ac:dyDescent="0.25">
      <c r="A12" s="40">
        <v>1</v>
      </c>
      <c r="B12" s="31" t="s">
        <v>6</v>
      </c>
      <c r="C12" s="316">
        <v>950305000</v>
      </c>
      <c r="D12" s="317"/>
      <c r="E12" s="318">
        <v>816022000</v>
      </c>
      <c r="F12" s="317"/>
      <c r="G12" s="318">
        <v>1081081000</v>
      </c>
      <c r="H12" s="317"/>
      <c r="I12" s="318">
        <v>928440000</v>
      </c>
      <c r="J12" s="317"/>
      <c r="K12" s="318">
        <v>1026337000</v>
      </c>
      <c r="L12" s="319"/>
      <c r="M12" s="320"/>
    </row>
    <row r="13" spans="1:13" ht="36.75" customHeight="1" x14ac:dyDescent="0.25">
      <c r="A13" s="48" t="s">
        <v>16</v>
      </c>
      <c r="B13" s="30" t="s">
        <v>31</v>
      </c>
      <c r="C13" s="66">
        <v>0.3</v>
      </c>
      <c r="D13" s="43"/>
      <c r="E13" s="67">
        <v>0.2</v>
      </c>
      <c r="F13" s="321"/>
      <c r="G13" s="67">
        <v>0.24</v>
      </c>
      <c r="H13" s="321"/>
      <c r="I13" s="67">
        <v>0.2</v>
      </c>
      <c r="J13" s="321"/>
      <c r="K13" s="67">
        <v>0.25</v>
      </c>
      <c r="L13" s="322"/>
      <c r="M13" s="323"/>
    </row>
    <row r="14" spans="1:13" ht="7.5" customHeight="1" x14ac:dyDescent="0.25">
      <c r="A14" s="29"/>
      <c r="B14" s="3"/>
    </row>
    <row r="15" spans="1:13" x14ac:dyDescent="0.25">
      <c r="A15" s="509" t="s">
        <v>1</v>
      </c>
      <c r="B15" s="510"/>
      <c r="C15" s="10"/>
      <c r="D15" s="8"/>
      <c r="E15" s="7"/>
      <c r="F15" s="8"/>
      <c r="G15" s="7"/>
      <c r="H15" s="8"/>
      <c r="I15" s="7"/>
      <c r="J15" s="8"/>
      <c r="K15" s="7"/>
      <c r="L15" s="10"/>
      <c r="M15" s="315"/>
    </row>
    <row r="16" spans="1:13" ht="30" x14ac:dyDescent="0.25">
      <c r="A16" s="40">
        <v>2</v>
      </c>
      <c r="B16" s="31" t="s">
        <v>5</v>
      </c>
      <c r="C16" s="316">
        <v>28955000</v>
      </c>
      <c r="D16" s="324"/>
      <c r="E16" s="318">
        <v>23475000</v>
      </c>
      <c r="F16" s="324"/>
      <c r="G16" s="318">
        <v>25658000</v>
      </c>
      <c r="H16" s="324"/>
      <c r="I16" s="318">
        <v>30927000</v>
      </c>
      <c r="J16" s="324"/>
      <c r="K16" s="318">
        <v>32916000</v>
      </c>
      <c r="L16" s="325"/>
      <c r="M16" s="326" t="s">
        <v>160</v>
      </c>
    </row>
    <row r="17" spans="1:13" ht="36" customHeight="1" x14ac:dyDescent="0.25">
      <c r="A17" s="48" t="s">
        <v>17</v>
      </c>
      <c r="B17" s="30" t="s">
        <v>30</v>
      </c>
      <c r="C17" s="327">
        <v>2.8000000000000001E-2</v>
      </c>
      <c r="D17" s="328"/>
      <c r="E17" s="329">
        <v>2.1999999999999999E-2</v>
      </c>
      <c r="F17" s="328"/>
      <c r="G17" s="329">
        <v>2.3E-2</v>
      </c>
      <c r="H17" s="328"/>
      <c r="I17" s="329">
        <v>2.5999999999999999E-2</v>
      </c>
      <c r="J17" s="328"/>
      <c r="K17" s="329">
        <v>2.7E-2</v>
      </c>
      <c r="L17" s="330"/>
      <c r="M17" s="326" t="s">
        <v>161</v>
      </c>
    </row>
    <row r="18" spans="1:13" ht="45" x14ac:dyDescent="0.25">
      <c r="A18" s="40">
        <v>3</v>
      </c>
      <c r="B18" s="31" t="s">
        <v>12</v>
      </c>
      <c r="C18" s="331">
        <v>394138000</v>
      </c>
      <c r="D18" s="332"/>
      <c r="E18" s="333">
        <v>447613000</v>
      </c>
      <c r="F18" s="332"/>
      <c r="G18" s="333">
        <v>473271000</v>
      </c>
      <c r="H18" s="332"/>
      <c r="I18" s="333">
        <v>504198000</v>
      </c>
      <c r="J18" s="332"/>
      <c r="K18" s="333">
        <v>537114000</v>
      </c>
      <c r="L18" s="334"/>
      <c r="M18" s="326" t="s">
        <v>162</v>
      </c>
    </row>
    <row r="19" spans="1:13" ht="36" customHeight="1" x14ac:dyDescent="0.25">
      <c r="A19" s="49" t="s">
        <v>37</v>
      </c>
      <c r="B19" s="32" t="s">
        <v>35</v>
      </c>
      <c r="C19" s="19" t="s">
        <v>67</v>
      </c>
      <c r="D19" s="19"/>
      <c r="E19" s="19" t="s">
        <v>67</v>
      </c>
      <c r="F19" s="19"/>
      <c r="G19" s="19" t="s">
        <v>67</v>
      </c>
      <c r="H19" s="19"/>
      <c r="I19" s="19" t="s">
        <v>67</v>
      </c>
      <c r="J19" s="19"/>
      <c r="K19" s="333">
        <v>205705000</v>
      </c>
      <c r="L19" s="19" t="s">
        <v>67</v>
      </c>
      <c r="M19" s="326" t="s">
        <v>163</v>
      </c>
    </row>
    <row r="20" spans="1:13" ht="18" customHeight="1" x14ac:dyDescent="0.25">
      <c r="A20" s="50" t="s">
        <v>41</v>
      </c>
      <c r="B20" s="32" t="s">
        <v>26</v>
      </c>
      <c r="C20" s="19" t="s">
        <v>67</v>
      </c>
      <c r="D20" s="19"/>
      <c r="E20" s="19" t="s">
        <v>67</v>
      </c>
      <c r="F20" s="19"/>
      <c r="G20" s="19" t="s">
        <v>67</v>
      </c>
      <c r="H20" s="19"/>
      <c r="I20" s="19" t="s">
        <v>67</v>
      </c>
      <c r="J20" s="19"/>
      <c r="K20" s="335">
        <v>7.9899999999999999E-2</v>
      </c>
      <c r="L20" s="19" t="s">
        <v>67</v>
      </c>
      <c r="M20" s="336" t="s">
        <v>164</v>
      </c>
    </row>
    <row r="21" spans="1:13" ht="33" customHeight="1" x14ac:dyDescent="0.25">
      <c r="A21" s="50" t="s">
        <v>18</v>
      </c>
      <c r="B21" s="32" t="s">
        <v>28</v>
      </c>
      <c r="C21" s="331">
        <f>+C18</f>
        <v>394138000</v>
      </c>
      <c r="D21" s="332"/>
      <c r="E21" s="333">
        <f>+E18</f>
        <v>447613000</v>
      </c>
      <c r="F21" s="332"/>
      <c r="G21" s="333">
        <f>+G18</f>
        <v>473271000</v>
      </c>
      <c r="H21" s="332"/>
      <c r="I21" s="333">
        <v>504198000</v>
      </c>
      <c r="J21" s="332"/>
      <c r="K21" s="333">
        <v>537114000</v>
      </c>
      <c r="L21" s="337"/>
      <c r="M21" s="326" t="s">
        <v>165</v>
      </c>
    </row>
    <row r="22" spans="1:13" ht="18.75" customHeight="1" x14ac:dyDescent="0.25">
      <c r="A22" s="51" t="s">
        <v>25</v>
      </c>
      <c r="B22" s="30" t="s">
        <v>29</v>
      </c>
      <c r="C22" s="17"/>
      <c r="D22" s="6"/>
      <c r="E22" s="18"/>
      <c r="F22" s="6"/>
      <c r="G22" s="18"/>
      <c r="H22" s="6"/>
      <c r="I22" s="18"/>
      <c r="J22" s="6"/>
      <c r="K22" s="18"/>
      <c r="L22" s="338"/>
      <c r="M22" s="323"/>
    </row>
    <row r="23" spans="1:13" ht="7.5" customHeight="1" x14ac:dyDescent="0.25">
      <c r="A23" s="29"/>
      <c r="B23" s="3"/>
    </row>
    <row r="24" spans="1:13" x14ac:dyDescent="0.25">
      <c r="A24" s="509" t="s">
        <v>13</v>
      </c>
      <c r="B24" s="510"/>
      <c r="C24" s="10"/>
      <c r="D24" s="10"/>
      <c r="E24" s="10"/>
      <c r="F24" s="10"/>
      <c r="G24" s="10"/>
      <c r="H24" s="10"/>
      <c r="I24" s="10"/>
      <c r="J24" s="10"/>
      <c r="K24" s="10"/>
      <c r="L24" s="10"/>
      <c r="M24" s="315"/>
    </row>
    <row r="25" spans="1:13" ht="19.5" customHeight="1" x14ac:dyDescent="0.25">
      <c r="A25" s="40">
        <v>4</v>
      </c>
      <c r="B25" s="44" t="s">
        <v>40</v>
      </c>
      <c r="C25" s="316">
        <v>36235000</v>
      </c>
      <c r="D25" s="339"/>
      <c r="E25" s="316">
        <v>42031000</v>
      </c>
      <c r="F25" s="339"/>
      <c r="G25" s="316">
        <v>43494000</v>
      </c>
      <c r="H25" s="339"/>
      <c r="I25" s="316">
        <v>45619000</v>
      </c>
      <c r="J25" s="339"/>
      <c r="K25" s="316">
        <v>47963000</v>
      </c>
      <c r="L25" s="340"/>
      <c r="M25" s="320" t="s">
        <v>166</v>
      </c>
    </row>
    <row r="26" spans="1:13" ht="30" x14ac:dyDescent="0.25">
      <c r="A26" s="48" t="s">
        <v>19</v>
      </c>
      <c r="B26" s="30" t="s">
        <v>0</v>
      </c>
      <c r="C26" s="17">
        <v>3.5</v>
      </c>
      <c r="D26" s="24"/>
      <c r="E26" s="301">
        <v>3.9E-2</v>
      </c>
      <c r="F26" s="341"/>
      <c r="G26" s="301">
        <v>3.9E-2</v>
      </c>
      <c r="H26" s="341"/>
      <c r="I26" s="301">
        <v>3.7999999999999999E-2</v>
      </c>
      <c r="J26" s="341"/>
      <c r="K26" s="301">
        <v>0.04</v>
      </c>
      <c r="L26" s="338"/>
      <c r="M26" s="326" t="s">
        <v>167</v>
      </c>
    </row>
    <row r="27" spans="1:13" ht="39.75" customHeight="1" x14ac:dyDescent="0.25">
      <c r="A27" s="40">
        <v>5</v>
      </c>
      <c r="B27" s="45" t="s">
        <v>38</v>
      </c>
      <c r="C27" s="21" t="s">
        <v>67</v>
      </c>
      <c r="D27" s="25"/>
      <c r="E27" s="21" t="s">
        <v>67</v>
      </c>
      <c r="F27" s="25"/>
      <c r="G27" s="21" t="s">
        <v>67</v>
      </c>
      <c r="H27" s="25"/>
      <c r="I27" s="21" t="s">
        <v>67</v>
      </c>
      <c r="J27" s="25"/>
      <c r="K27" s="21" t="s">
        <v>67</v>
      </c>
      <c r="L27" s="42"/>
      <c r="M27" s="636" t="s">
        <v>168</v>
      </c>
    </row>
    <row r="28" spans="1:13" ht="48" customHeight="1" x14ac:dyDescent="0.25">
      <c r="A28" s="49" t="s">
        <v>20</v>
      </c>
      <c r="B28" s="34" t="s">
        <v>42</v>
      </c>
      <c r="C28" s="21" t="s">
        <v>67</v>
      </c>
      <c r="D28" s="26"/>
      <c r="E28" s="21" t="s">
        <v>67</v>
      </c>
      <c r="F28" s="26"/>
      <c r="G28" s="21" t="s">
        <v>67</v>
      </c>
      <c r="H28" s="26"/>
      <c r="I28" s="21" t="s">
        <v>67</v>
      </c>
      <c r="J28" s="26"/>
      <c r="K28" s="21" t="s">
        <v>67</v>
      </c>
      <c r="L28" s="342"/>
      <c r="M28" s="636"/>
    </row>
    <row r="29" spans="1:13" ht="36" customHeight="1" x14ac:dyDescent="0.25">
      <c r="A29" s="49" t="s">
        <v>21</v>
      </c>
      <c r="B29" s="34" t="s">
        <v>34</v>
      </c>
      <c r="C29" s="21" t="s">
        <v>67</v>
      </c>
      <c r="D29" s="26"/>
      <c r="E29" s="21" t="s">
        <v>67</v>
      </c>
      <c r="F29" s="26"/>
      <c r="G29" s="21" t="s">
        <v>67</v>
      </c>
      <c r="H29" s="26"/>
      <c r="I29" s="21" t="s">
        <v>67</v>
      </c>
      <c r="J29" s="26"/>
      <c r="K29" s="21" t="s">
        <v>67</v>
      </c>
      <c r="L29" s="342"/>
      <c r="M29" s="636"/>
    </row>
    <row r="30" spans="1:13" ht="66" customHeight="1" x14ac:dyDescent="0.25">
      <c r="A30" s="48" t="s">
        <v>22</v>
      </c>
      <c r="B30" s="35" t="s">
        <v>15</v>
      </c>
      <c r="C30" s="522"/>
      <c r="D30" s="505"/>
      <c r="E30" s="505"/>
      <c r="F30" s="505"/>
      <c r="G30" s="505"/>
      <c r="H30" s="505"/>
      <c r="I30" s="505"/>
      <c r="J30" s="505"/>
      <c r="K30" s="505"/>
      <c r="L30" s="505"/>
      <c r="M30" s="320"/>
    </row>
    <row r="31" spans="1:13" ht="18" customHeight="1" x14ac:dyDescent="0.25">
      <c r="A31" s="40">
        <v>6</v>
      </c>
      <c r="B31" s="33" t="s">
        <v>14</v>
      </c>
      <c r="C31" s="343"/>
      <c r="D31" s="339">
        <v>30000000</v>
      </c>
      <c r="E31" s="343"/>
      <c r="F31" s="343">
        <v>30000000</v>
      </c>
      <c r="G31" s="16"/>
      <c r="H31" s="23"/>
      <c r="I31" s="16"/>
      <c r="J31" s="23"/>
      <c r="K31" s="16"/>
      <c r="L31" s="344"/>
      <c r="M31" s="320"/>
    </row>
    <row r="32" spans="1:13" ht="33.75" customHeight="1" x14ac:dyDescent="0.25">
      <c r="A32" s="48" t="s">
        <v>23</v>
      </c>
      <c r="B32" s="46" t="s">
        <v>39</v>
      </c>
      <c r="C32" s="522" t="s">
        <v>169</v>
      </c>
      <c r="D32" s="505"/>
      <c r="E32" s="505"/>
      <c r="F32" s="505"/>
      <c r="G32" s="505"/>
      <c r="H32" s="505"/>
      <c r="I32" s="505"/>
      <c r="J32" s="505"/>
      <c r="K32" s="505"/>
      <c r="L32" s="505"/>
      <c r="M32" s="323"/>
    </row>
    <row r="33" spans="1:13" ht="7.5" customHeight="1" x14ac:dyDescent="0.25">
      <c r="A33" s="29"/>
      <c r="B33" s="3"/>
    </row>
    <row r="34" spans="1:13" ht="15" customHeight="1" x14ac:dyDescent="0.25">
      <c r="A34" s="509" t="s">
        <v>2</v>
      </c>
      <c r="B34" s="510"/>
      <c r="C34" s="10"/>
      <c r="D34" s="8"/>
      <c r="E34" s="7"/>
      <c r="F34" s="8"/>
      <c r="G34" s="7"/>
      <c r="H34" s="8"/>
      <c r="I34" s="7"/>
      <c r="J34" s="8"/>
      <c r="K34" s="7"/>
      <c r="L34" s="10"/>
      <c r="M34" s="315"/>
    </row>
    <row r="35" spans="1:13" x14ac:dyDescent="0.25">
      <c r="A35" s="39">
        <v>7</v>
      </c>
      <c r="B35" s="33" t="s">
        <v>3</v>
      </c>
      <c r="C35" s="526" t="s">
        <v>170</v>
      </c>
      <c r="D35" s="521"/>
      <c r="E35" s="526" t="s">
        <v>170</v>
      </c>
      <c r="F35" s="521"/>
      <c r="G35" s="526" t="s">
        <v>170</v>
      </c>
      <c r="H35" s="521"/>
      <c r="I35" s="526" t="s">
        <v>170</v>
      </c>
      <c r="J35" s="521"/>
      <c r="K35" s="526" t="s">
        <v>170</v>
      </c>
      <c r="L35" s="526"/>
      <c r="M35" s="320"/>
    </row>
    <row r="36" spans="1:13" x14ac:dyDescent="0.25">
      <c r="A36" s="39">
        <v>8</v>
      </c>
      <c r="B36" s="36" t="s">
        <v>4</v>
      </c>
      <c r="C36" s="536" t="s">
        <v>171</v>
      </c>
      <c r="D36" s="489"/>
      <c r="E36" s="536" t="s">
        <v>171</v>
      </c>
      <c r="F36" s="489"/>
      <c r="G36" s="536" t="s">
        <v>171</v>
      </c>
      <c r="H36" s="489"/>
      <c r="I36" s="488">
        <v>10677.81</v>
      </c>
      <c r="J36" s="489"/>
      <c r="K36" s="488">
        <v>8215.94</v>
      </c>
      <c r="L36" s="536"/>
      <c r="M36" s="320"/>
    </row>
    <row r="37" spans="1:13" ht="15.75" thickBot="1" x14ac:dyDescent="0.3">
      <c r="A37" s="98">
        <v>9</v>
      </c>
      <c r="B37" s="37" t="s">
        <v>44</v>
      </c>
      <c r="C37" s="486" t="s">
        <v>62</v>
      </c>
      <c r="D37" s="487"/>
      <c r="E37" s="490" t="s">
        <v>62</v>
      </c>
      <c r="F37" s="487"/>
      <c r="G37" s="490" t="s">
        <v>62</v>
      </c>
      <c r="H37" s="487"/>
      <c r="I37" s="490" t="s">
        <v>62</v>
      </c>
      <c r="J37" s="487"/>
      <c r="K37" s="490" t="s">
        <v>62</v>
      </c>
      <c r="L37" s="486"/>
      <c r="M37" s="323"/>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6">
    <mergeCell ref="B1:L1"/>
    <mergeCell ref="B2:L2"/>
    <mergeCell ref="B4:L4"/>
    <mergeCell ref="C6:L6"/>
    <mergeCell ref="B8:B9"/>
    <mergeCell ref="C8:D8"/>
    <mergeCell ref="E8:F8"/>
    <mergeCell ref="G8:H8"/>
    <mergeCell ref="I8:J8"/>
    <mergeCell ref="K8:L8"/>
    <mergeCell ref="M27:M29"/>
    <mergeCell ref="A8:A9"/>
    <mergeCell ref="C32:L32"/>
    <mergeCell ref="A34:B34"/>
    <mergeCell ref="C35:D35"/>
    <mergeCell ref="E35:F35"/>
    <mergeCell ref="G35:H35"/>
    <mergeCell ref="I35:J35"/>
    <mergeCell ref="K35:L35"/>
    <mergeCell ref="C30:L30"/>
    <mergeCell ref="A11:B11"/>
    <mergeCell ref="A15:B15"/>
    <mergeCell ref="A24:B24"/>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85" zoomScaleNormal="85" workbookViewId="0">
      <selection activeCell="D50" sqref="D50"/>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6" width="13.7109375" customWidth="1"/>
    <col min="7" max="7" width="16" customWidth="1"/>
    <col min="8" max="8" width="13.5703125" customWidth="1"/>
    <col min="9" max="9" width="15.28515625" customWidth="1"/>
    <col min="10" max="10" width="14.140625" customWidth="1"/>
    <col min="11" max="12" width="13.7109375" customWidth="1"/>
    <col min="15" max="15" width="10.570312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547" t="s">
        <v>173</v>
      </c>
      <c r="D6" s="547"/>
      <c r="E6" s="547"/>
      <c r="F6" s="547"/>
      <c r="G6" s="547"/>
      <c r="H6" s="547"/>
      <c r="I6" s="547"/>
      <c r="J6" s="547"/>
      <c r="K6" s="547"/>
      <c r="L6" s="548"/>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345">
        <f>73361000/0.993</f>
        <v>73878147.029204428</v>
      </c>
      <c r="D12" s="346">
        <v>0</v>
      </c>
      <c r="E12" s="347">
        <f>87656000/1.067</f>
        <v>82151827.553889409</v>
      </c>
      <c r="F12" s="346">
        <v>0</v>
      </c>
      <c r="G12" s="347">
        <f>129881000/1.163</f>
        <v>111677558.03955288</v>
      </c>
      <c r="H12" s="346">
        <v>0</v>
      </c>
      <c r="I12" s="347">
        <f>129843000/1.385</f>
        <v>93749458.483754516</v>
      </c>
      <c r="J12" s="346">
        <v>0</v>
      </c>
      <c r="K12" s="347">
        <f>124249000/1.354</f>
        <v>91764401.772525847</v>
      </c>
      <c r="L12" s="346">
        <v>0</v>
      </c>
    </row>
    <row r="13" spans="1:13" ht="36.75" customHeight="1" x14ac:dyDescent="0.25">
      <c r="A13" s="48" t="s">
        <v>16</v>
      </c>
      <c r="B13" s="30" t="s">
        <v>31</v>
      </c>
      <c r="C13" s="66">
        <f>73361000/-44845000</f>
        <v>-1.6358791392574423</v>
      </c>
      <c r="D13" s="43"/>
      <c r="E13" s="67">
        <f>87656000/-58686000</f>
        <v>-1.4936441399993183</v>
      </c>
      <c r="F13" s="43"/>
      <c r="G13" s="67">
        <f>129881000/-92340000</f>
        <v>-1.4065518735109379</v>
      </c>
      <c r="H13" s="43"/>
      <c r="I13" s="67">
        <f>129843000/-87331000</f>
        <v>-1.4867916318374919</v>
      </c>
      <c r="J13" s="43"/>
      <c r="K13" s="67">
        <f>124249000/-67478000</f>
        <v>-1.8413260618275586</v>
      </c>
      <c r="L13" s="43"/>
    </row>
    <row r="14" spans="1:13" ht="7.5" customHeight="1" x14ac:dyDescent="0.25">
      <c r="A14" s="29"/>
      <c r="B14" s="3"/>
    </row>
    <row r="15" spans="1:13" x14ac:dyDescent="0.25">
      <c r="A15" s="509" t="s">
        <v>1</v>
      </c>
      <c r="B15" s="510"/>
      <c r="C15" s="10"/>
      <c r="D15" s="8"/>
      <c r="E15" s="7"/>
      <c r="F15" s="8"/>
      <c r="G15" s="7"/>
      <c r="H15" s="8"/>
      <c r="I15" s="7"/>
      <c r="J15" s="8"/>
      <c r="K15" s="7"/>
      <c r="L15" s="9"/>
    </row>
    <row r="16" spans="1:13" ht="33" customHeight="1" x14ac:dyDescent="0.25">
      <c r="A16" s="40">
        <v>2</v>
      </c>
      <c r="B16" s="31" t="s">
        <v>5</v>
      </c>
      <c r="C16" s="345">
        <v>1400000</v>
      </c>
      <c r="D16" s="348">
        <v>0</v>
      </c>
      <c r="E16" s="347">
        <v>1400000</v>
      </c>
      <c r="F16" s="348">
        <v>0</v>
      </c>
      <c r="G16" s="347">
        <v>1400000</v>
      </c>
      <c r="H16" s="348">
        <v>0</v>
      </c>
      <c r="I16" s="347">
        <v>1400000</v>
      </c>
      <c r="J16" s="348">
        <v>0</v>
      </c>
      <c r="K16" s="347">
        <v>1400000</v>
      </c>
      <c r="L16" s="348">
        <v>0</v>
      </c>
    </row>
    <row r="17" spans="1:15" ht="36" customHeight="1" x14ac:dyDescent="0.25">
      <c r="A17" s="48" t="s">
        <v>17</v>
      </c>
      <c r="B17" s="30" t="s">
        <v>30</v>
      </c>
      <c r="C17" s="66">
        <f>1400000/133575000</f>
        <v>1.0481003181733109E-2</v>
      </c>
      <c r="D17" s="349">
        <v>0</v>
      </c>
      <c r="E17" s="67">
        <f>1400000/140539000</f>
        <v>9.9616476565223891E-3</v>
      </c>
      <c r="F17" s="349">
        <v>0</v>
      </c>
      <c r="G17" s="67">
        <f>1400000/143280000</f>
        <v>9.7710776102735899E-3</v>
      </c>
      <c r="H17" s="349">
        <v>0</v>
      </c>
      <c r="I17" s="67">
        <f>1400000/159504000</f>
        <v>8.7772093489818445E-3</v>
      </c>
      <c r="J17" s="349">
        <v>0</v>
      </c>
      <c r="K17" s="67">
        <f>1400000/157256000</f>
        <v>8.9026809787861837E-3</v>
      </c>
      <c r="L17" s="349">
        <v>0</v>
      </c>
    </row>
    <row r="18" spans="1:15" ht="18" customHeight="1" x14ac:dyDescent="0.25">
      <c r="A18" s="40">
        <v>3</v>
      </c>
      <c r="B18" s="31" t="s">
        <v>12</v>
      </c>
      <c r="C18" s="350">
        <v>1400000</v>
      </c>
      <c r="D18" s="351">
        <v>0</v>
      </c>
      <c r="E18" s="352">
        <v>1400000</v>
      </c>
      <c r="F18" s="351">
        <v>0</v>
      </c>
      <c r="G18" s="352">
        <v>1400000</v>
      </c>
      <c r="H18" s="351">
        <v>0</v>
      </c>
      <c r="I18" s="352">
        <v>1400000</v>
      </c>
      <c r="J18" s="351">
        <v>0</v>
      </c>
      <c r="K18" s="352">
        <v>1400000</v>
      </c>
      <c r="L18" s="351">
        <v>0</v>
      </c>
    </row>
    <row r="19" spans="1:15" ht="36" customHeight="1" x14ac:dyDescent="0.25">
      <c r="A19" s="49" t="s">
        <v>37</v>
      </c>
      <c r="B19" s="32" t="s">
        <v>35</v>
      </c>
      <c r="C19" s="350">
        <v>7303</v>
      </c>
      <c r="D19" s="351">
        <v>0</v>
      </c>
      <c r="E19" s="352">
        <v>7621</v>
      </c>
      <c r="F19" s="351">
        <v>0</v>
      </c>
      <c r="G19" s="352">
        <v>7934</v>
      </c>
      <c r="H19" s="351">
        <v>0</v>
      </c>
      <c r="I19" s="352">
        <v>5639</v>
      </c>
      <c r="J19" s="351">
        <v>0</v>
      </c>
      <c r="K19" s="352">
        <v>5795</v>
      </c>
      <c r="L19" s="351">
        <v>0</v>
      </c>
      <c r="O19" s="295"/>
    </row>
    <row r="20" spans="1:15" ht="18" customHeight="1" x14ac:dyDescent="0.25">
      <c r="A20" s="50" t="s">
        <v>41</v>
      </c>
      <c r="B20" s="32" t="s">
        <v>26</v>
      </c>
      <c r="C20" s="232">
        <f>C19/C18</f>
        <v>5.2164285714285715E-3</v>
      </c>
      <c r="D20" s="353">
        <v>0</v>
      </c>
      <c r="E20" s="354">
        <f>E19/E18</f>
        <v>5.4435714285714287E-3</v>
      </c>
      <c r="F20" s="353">
        <v>0</v>
      </c>
      <c r="G20" s="354">
        <f>G19/G18</f>
        <v>5.6671428571428576E-3</v>
      </c>
      <c r="H20" s="353">
        <v>0</v>
      </c>
      <c r="I20" s="97">
        <f>I19/I18</f>
        <v>4.0278571428571429E-3</v>
      </c>
      <c r="J20" s="353">
        <v>0</v>
      </c>
      <c r="K20" s="97">
        <f>K19/K18</f>
        <v>4.1392857142857143E-3</v>
      </c>
      <c r="L20" s="353">
        <v>0</v>
      </c>
      <c r="O20" s="295"/>
    </row>
    <row r="21" spans="1:15" ht="33" customHeight="1" x14ac:dyDescent="0.25">
      <c r="A21" s="50" t="s">
        <v>18</v>
      </c>
      <c r="B21" s="32" t="s">
        <v>28</v>
      </c>
      <c r="C21" s="350">
        <v>1400000</v>
      </c>
      <c r="D21" s="351">
        <v>0</v>
      </c>
      <c r="E21" s="352">
        <v>1400000</v>
      </c>
      <c r="F21" s="351">
        <v>0</v>
      </c>
      <c r="G21" s="352">
        <v>1400000</v>
      </c>
      <c r="H21" s="351">
        <v>0</v>
      </c>
      <c r="I21" s="352">
        <v>1400000</v>
      </c>
      <c r="J21" s="351">
        <v>0</v>
      </c>
      <c r="K21" s="352">
        <v>1400000</v>
      </c>
      <c r="L21" s="351">
        <v>0</v>
      </c>
    </row>
    <row r="22" spans="1:15" ht="18.75" customHeight="1" x14ac:dyDescent="0.25">
      <c r="A22" s="51" t="s">
        <v>25</v>
      </c>
      <c r="B22" s="30" t="s">
        <v>29</v>
      </c>
      <c r="C22" s="355">
        <v>0</v>
      </c>
      <c r="D22" s="355">
        <v>0</v>
      </c>
      <c r="E22" s="355">
        <v>0</v>
      </c>
      <c r="F22" s="355">
        <v>0</v>
      </c>
      <c r="G22" s="355">
        <v>0</v>
      </c>
      <c r="H22" s="355">
        <v>0</v>
      </c>
      <c r="I22" s="355">
        <v>0</v>
      </c>
      <c r="J22" s="355">
        <v>0</v>
      </c>
      <c r="K22" s="355">
        <v>0</v>
      </c>
      <c r="L22" s="355">
        <v>0</v>
      </c>
    </row>
    <row r="23" spans="1:15" ht="7.5" customHeight="1" x14ac:dyDescent="0.25">
      <c r="A23" s="29"/>
      <c r="B23" s="3"/>
    </row>
    <row r="24" spans="1:15" x14ac:dyDescent="0.25">
      <c r="A24" s="509" t="s">
        <v>13</v>
      </c>
      <c r="B24" s="510"/>
      <c r="C24" s="10"/>
      <c r="D24" s="10"/>
      <c r="E24" s="10"/>
      <c r="F24" s="10"/>
      <c r="G24" s="10"/>
      <c r="H24" s="10"/>
      <c r="I24" s="10"/>
      <c r="J24" s="10"/>
      <c r="K24" s="10"/>
      <c r="L24" s="8"/>
    </row>
    <row r="25" spans="1:15" ht="19.5" customHeight="1" x14ac:dyDescent="0.25">
      <c r="A25" s="40">
        <v>4</v>
      </c>
      <c r="B25" s="44" t="s">
        <v>40</v>
      </c>
      <c r="C25" s="345">
        <v>0</v>
      </c>
      <c r="D25" s="345">
        <v>0</v>
      </c>
      <c r="E25" s="345">
        <v>0</v>
      </c>
      <c r="F25" s="345">
        <v>0</v>
      </c>
      <c r="G25" s="345">
        <v>0</v>
      </c>
      <c r="H25" s="345">
        <v>0</v>
      </c>
      <c r="I25" s="345">
        <v>0</v>
      </c>
      <c r="J25" s="345">
        <v>0</v>
      </c>
      <c r="K25" s="345">
        <v>0</v>
      </c>
      <c r="L25" s="345">
        <v>0</v>
      </c>
    </row>
    <row r="26" spans="1:15" ht="19.5" customHeight="1" x14ac:dyDescent="0.25">
      <c r="A26" s="48" t="s">
        <v>19</v>
      </c>
      <c r="B26" s="30" t="s">
        <v>0</v>
      </c>
      <c r="C26" s="66">
        <v>0</v>
      </c>
      <c r="D26" s="66">
        <v>0</v>
      </c>
      <c r="E26" s="66">
        <v>0</v>
      </c>
      <c r="F26" s="66">
        <v>0</v>
      </c>
      <c r="G26" s="66">
        <v>0</v>
      </c>
      <c r="H26" s="66">
        <v>0</v>
      </c>
      <c r="I26" s="66">
        <v>0</v>
      </c>
      <c r="J26" s="66">
        <v>0</v>
      </c>
      <c r="K26" s="66">
        <v>0</v>
      </c>
      <c r="L26" s="66">
        <v>0</v>
      </c>
    </row>
    <row r="27" spans="1:15" ht="39.75" customHeight="1" x14ac:dyDescent="0.25">
      <c r="A27" s="40">
        <v>5</v>
      </c>
      <c r="B27" s="45" t="s">
        <v>38</v>
      </c>
      <c r="C27" s="356">
        <v>0</v>
      </c>
      <c r="D27" s="356">
        <v>0</v>
      </c>
      <c r="E27" s="356">
        <v>0</v>
      </c>
      <c r="F27" s="356">
        <v>0</v>
      </c>
      <c r="G27" s="356">
        <v>0</v>
      </c>
      <c r="H27" s="356">
        <v>0</v>
      </c>
      <c r="I27" s="356">
        <v>0</v>
      </c>
      <c r="J27" s="356">
        <v>0</v>
      </c>
      <c r="K27" s="356">
        <v>0</v>
      </c>
      <c r="L27" s="356">
        <v>0</v>
      </c>
    </row>
    <row r="28" spans="1:15" ht="48" customHeight="1" x14ac:dyDescent="0.25">
      <c r="A28" s="49" t="s">
        <v>20</v>
      </c>
      <c r="B28" s="34" t="s">
        <v>42</v>
      </c>
      <c r="C28" s="357">
        <v>0</v>
      </c>
      <c r="D28" s="357">
        <v>0</v>
      </c>
      <c r="E28" s="357">
        <v>0</v>
      </c>
      <c r="F28" s="357">
        <v>0</v>
      </c>
      <c r="G28" s="357">
        <v>0</v>
      </c>
      <c r="H28" s="357">
        <v>0</v>
      </c>
      <c r="I28" s="357">
        <v>0</v>
      </c>
      <c r="J28" s="357">
        <v>0</v>
      </c>
      <c r="K28" s="357">
        <v>0</v>
      </c>
      <c r="L28" s="357">
        <v>0</v>
      </c>
    </row>
    <row r="29" spans="1:15" ht="36" customHeight="1" x14ac:dyDescent="0.25">
      <c r="A29" s="49" t="s">
        <v>21</v>
      </c>
      <c r="B29" s="34" t="s">
        <v>34</v>
      </c>
      <c r="C29" s="357">
        <v>0</v>
      </c>
      <c r="D29" s="357">
        <v>0</v>
      </c>
      <c r="E29" s="357">
        <v>0</v>
      </c>
      <c r="F29" s="357">
        <v>0</v>
      </c>
      <c r="G29" s="357">
        <v>0</v>
      </c>
      <c r="H29" s="357">
        <v>0</v>
      </c>
      <c r="I29" s="357">
        <v>0</v>
      </c>
      <c r="J29" s="357">
        <v>0</v>
      </c>
      <c r="K29" s="357">
        <v>0</v>
      </c>
      <c r="L29" s="357">
        <v>0</v>
      </c>
    </row>
    <row r="30" spans="1:15" ht="66" customHeight="1" x14ac:dyDescent="0.25">
      <c r="A30" s="48" t="s">
        <v>22</v>
      </c>
      <c r="B30" s="35" t="s">
        <v>15</v>
      </c>
      <c r="C30" s="523" t="s">
        <v>174</v>
      </c>
      <c r="D30" s="524"/>
      <c r="E30" s="524"/>
      <c r="F30" s="524"/>
      <c r="G30" s="524"/>
      <c r="H30" s="524"/>
      <c r="I30" s="524"/>
      <c r="J30" s="524"/>
      <c r="K30" s="524"/>
      <c r="L30" s="525"/>
    </row>
    <row r="31" spans="1:15" ht="18" customHeight="1" x14ac:dyDescent="0.25">
      <c r="A31" s="40">
        <v>6</v>
      </c>
      <c r="B31" s="33" t="s">
        <v>14</v>
      </c>
      <c r="C31" s="28"/>
      <c r="D31" s="28"/>
      <c r="E31" s="28"/>
      <c r="F31" s="28"/>
      <c r="G31" s="28"/>
      <c r="H31" s="28"/>
      <c r="I31" s="28"/>
      <c r="J31" s="28"/>
      <c r="K31" s="28"/>
      <c r="L31" s="28"/>
    </row>
    <row r="32" spans="1:15" ht="33.75" customHeight="1" x14ac:dyDescent="0.25">
      <c r="A32" s="48" t="s">
        <v>23</v>
      </c>
      <c r="B32" s="46" t="s">
        <v>39</v>
      </c>
      <c r="C32" s="638" t="s">
        <v>96</v>
      </c>
      <c r="D32" s="639"/>
      <c r="E32" s="639"/>
      <c r="F32" s="639"/>
      <c r="G32" s="639"/>
      <c r="H32" s="639"/>
      <c r="I32" s="639"/>
      <c r="J32" s="639"/>
      <c r="K32" s="639"/>
      <c r="L32" s="640"/>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75</v>
      </c>
      <c r="D35" s="521"/>
      <c r="E35" s="526" t="s">
        <v>75</v>
      </c>
      <c r="F35" s="521"/>
      <c r="G35" s="526" t="s">
        <v>75</v>
      </c>
      <c r="H35" s="521"/>
      <c r="I35" s="526" t="s">
        <v>75</v>
      </c>
      <c r="J35" s="521"/>
      <c r="K35" s="526" t="s">
        <v>75</v>
      </c>
      <c r="L35" s="521"/>
    </row>
    <row r="36" spans="1:13" x14ac:dyDescent="0.25">
      <c r="A36" s="39">
        <v>8</v>
      </c>
      <c r="B36" s="36" t="s">
        <v>4</v>
      </c>
      <c r="C36" s="637">
        <v>35205.620000000003</v>
      </c>
      <c r="D36" s="546"/>
      <c r="E36" s="545">
        <v>32896</v>
      </c>
      <c r="F36" s="546"/>
      <c r="G36" s="545">
        <v>34124.089999999997</v>
      </c>
      <c r="H36" s="546"/>
      <c r="I36" s="545">
        <v>29565.22</v>
      </c>
      <c r="J36" s="546"/>
      <c r="K36" s="545">
        <v>28659</v>
      </c>
      <c r="L36" s="546"/>
    </row>
    <row r="37" spans="1:13" ht="15.75" thickBot="1" x14ac:dyDescent="0.3">
      <c r="A37" s="98">
        <v>9</v>
      </c>
      <c r="B37" s="37" t="s">
        <v>44</v>
      </c>
      <c r="C37" s="486" t="s">
        <v>61</v>
      </c>
      <c r="D37" s="487"/>
      <c r="E37" s="486" t="s">
        <v>61</v>
      </c>
      <c r="F37" s="487"/>
      <c r="G37" s="486" t="s">
        <v>61</v>
      </c>
      <c r="H37" s="487"/>
      <c r="I37" s="486" t="s">
        <v>61</v>
      </c>
      <c r="J37" s="487"/>
      <c r="K37" s="486" t="s">
        <v>61</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5">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85" zoomScaleNormal="85" workbookViewId="0">
      <selection activeCell="O30" sqref="O30"/>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650"/>
      <c r="E5" s="650"/>
      <c r="F5" s="650"/>
      <c r="G5" s="650"/>
      <c r="H5" s="13"/>
      <c r="I5" s="13"/>
      <c r="J5" s="13"/>
      <c r="K5" s="13"/>
      <c r="L5" s="13"/>
    </row>
    <row r="6" spans="1:13" x14ac:dyDescent="0.25">
      <c r="B6" s="15" t="s">
        <v>11</v>
      </c>
      <c r="C6" s="547" t="s">
        <v>175</v>
      </c>
      <c r="D6" s="547"/>
      <c r="E6" s="547"/>
      <c r="F6" s="547"/>
      <c r="G6" s="547"/>
      <c r="H6" s="547"/>
      <c r="I6" s="547"/>
      <c r="J6" s="547"/>
      <c r="K6" s="547"/>
      <c r="L6" s="548"/>
    </row>
    <row r="7" spans="1:13" ht="15.75" thickBot="1" x14ac:dyDescent="0.3">
      <c r="B7" s="358" t="s">
        <v>176</v>
      </c>
      <c r="C7" s="358">
        <v>0.91100000000000003</v>
      </c>
      <c r="D7" s="358"/>
      <c r="E7" s="358">
        <v>0.88700000000000001</v>
      </c>
      <c r="F7" s="358"/>
      <c r="G7" s="358">
        <v>0.98699999999999999</v>
      </c>
      <c r="H7" s="358"/>
      <c r="I7" s="358">
        <v>0.99099999999999999</v>
      </c>
      <c r="J7" s="358"/>
      <c r="K7" s="359">
        <v>1.0249999999999999</v>
      </c>
      <c r="L7" s="360"/>
    </row>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177</v>
      </c>
      <c r="C12" s="361">
        <f>110.9/C7</f>
        <v>121.73435784851812</v>
      </c>
      <c r="D12" s="362" t="s">
        <v>67</v>
      </c>
      <c r="E12" s="363">
        <f>119.6/E7</f>
        <v>134.83652762119502</v>
      </c>
      <c r="F12" s="362" t="s">
        <v>67</v>
      </c>
      <c r="G12" s="363">
        <f>127.9/G7</f>
        <v>129.58459979736577</v>
      </c>
      <c r="H12" s="362" t="s">
        <v>67</v>
      </c>
      <c r="I12" s="363">
        <f>137.2/I7</f>
        <v>138.44601412714428</v>
      </c>
      <c r="J12" s="362" t="s">
        <v>67</v>
      </c>
      <c r="K12" s="363">
        <f>154.3/K7</f>
        <v>150.53658536585368</v>
      </c>
      <c r="L12" s="362" t="s">
        <v>67</v>
      </c>
    </row>
    <row r="13" spans="1:13" ht="36.75" customHeight="1" x14ac:dyDescent="0.25">
      <c r="A13" s="48" t="s">
        <v>16</v>
      </c>
      <c r="B13" s="30" t="s">
        <v>31</v>
      </c>
      <c r="C13" s="364">
        <f>C12/(193.7/C7)</f>
        <v>0.57253484770263308</v>
      </c>
      <c r="D13" s="43"/>
      <c r="E13" s="365">
        <f>E12/(208.8/E7)</f>
        <v>0.57279693486590022</v>
      </c>
      <c r="F13" s="43"/>
      <c r="G13" s="365">
        <f>G12/(245.8/G7)</f>
        <v>0.52034174125305133</v>
      </c>
      <c r="H13" s="43"/>
      <c r="I13" s="365">
        <f>I12/(279.1/I7)</f>
        <v>0.49158007882479388</v>
      </c>
      <c r="J13" s="43"/>
      <c r="K13" s="365">
        <f>K12/(311.3/K7)</f>
        <v>0.49566334725345329</v>
      </c>
      <c r="L13" s="43"/>
    </row>
    <row r="14" spans="1:13" ht="7.5" customHeight="1" x14ac:dyDescent="0.25">
      <c r="A14" s="29"/>
      <c r="B14" s="3"/>
    </row>
    <row r="15" spans="1:13" x14ac:dyDescent="0.25">
      <c r="A15" s="509" t="s">
        <v>1</v>
      </c>
      <c r="B15" s="510"/>
      <c r="C15" s="10"/>
      <c r="D15" s="8"/>
      <c r="E15" s="7"/>
      <c r="F15" s="8"/>
      <c r="G15" s="7"/>
      <c r="H15" s="8"/>
      <c r="I15" s="7"/>
      <c r="J15" s="8"/>
      <c r="K15" s="7"/>
      <c r="L15" s="8"/>
    </row>
    <row r="16" spans="1:13" ht="33" customHeight="1" x14ac:dyDescent="0.25">
      <c r="A16" s="40">
        <v>2</v>
      </c>
      <c r="B16" s="31" t="s">
        <v>178</v>
      </c>
      <c r="C16" s="647" t="s">
        <v>179</v>
      </c>
      <c r="D16" s="647" t="s">
        <v>67</v>
      </c>
      <c r="E16" s="647" t="s">
        <v>179</v>
      </c>
      <c r="F16" s="647" t="s">
        <v>67</v>
      </c>
      <c r="G16" s="366">
        <f>G18</f>
        <v>90.070921985815616</v>
      </c>
      <c r="H16" s="647" t="s">
        <v>67</v>
      </c>
      <c r="I16" s="366">
        <f>13.2/I7</f>
        <v>13.319878910191726</v>
      </c>
      <c r="J16" s="647" t="s">
        <v>67</v>
      </c>
      <c r="K16" s="363">
        <f>6.4/K7</f>
        <v>6.2439024390243913</v>
      </c>
      <c r="L16" s="647" t="s">
        <v>67</v>
      </c>
    </row>
    <row r="17" spans="1:12" ht="46.5" customHeight="1" x14ac:dyDescent="0.25">
      <c r="A17" s="48" t="s">
        <v>17</v>
      </c>
      <c r="B17" s="30" t="s">
        <v>30</v>
      </c>
      <c r="C17" s="648"/>
      <c r="D17" s="648"/>
      <c r="E17" s="648"/>
      <c r="F17" s="648"/>
      <c r="G17" s="74">
        <v>0.06</v>
      </c>
      <c r="H17" s="648"/>
      <c r="I17" s="367" t="s">
        <v>180</v>
      </c>
      <c r="J17" s="648"/>
      <c r="K17" s="74">
        <v>0.06</v>
      </c>
      <c r="L17" s="648"/>
    </row>
    <row r="18" spans="1:12" ht="29.25" customHeight="1" x14ac:dyDescent="0.25">
      <c r="A18" s="40">
        <v>3</v>
      </c>
      <c r="B18" s="31" t="s">
        <v>181</v>
      </c>
      <c r="C18" s="648"/>
      <c r="D18" s="648"/>
      <c r="E18" s="648"/>
      <c r="F18" s="648"/>
      <c r="G18" s="368">
        <f>88.9/G7</f>
        <v>90.070921985815616</v>
      </c>
      <c r="H18" s="648"/>
      <c r="I18" s="368">
        <f>102.1/I7</f>
        <v>103.02724520686175</v>
      </c>
      <c r="J18" s="648"/>
      <c r="K18" s="369">
        <f>108.6/K7</f>
        <v>105.95121951219512</v>
      </c>
      <c r="L18" s="648"/>
    </row>
    <row r="19" spans="1:12" ht="36" customHeight="1" x14ac:dyDescent="0.25">
      <c r="A19" s="49" t="s">
        <v>37</v>
      </c>
      <c r="B19" s="32" t="s">
        <v>35</v>
      </c>
      <c r="C19" s="648"/>
      <c r="D19" s="648"/>
      <c r="E19" s="648"/>
      <c r="F19" s="648"/>
      <c r="G19" s="370">
        <f>(72220.85-1825)/G7/1000000</f>
        <v>7.1323049645390074E-2</v>
      </c>
      <c r="H19" s="648"/>
      <c r="I19" s="370">
        <f>10656/I7/1000000</f>
        <v>1.0752774974772956E-2</v>
      </c>
      <c r="J19" s="648"/>
      <c r="K19" s="371">
        <v>0</v>
      </c>
      <c r="L19" s="648"/>
    </row>
    <row r="20" spans="1:12" ht="18" customHeight="1" x14ac:dyDescent="0.25">
      <c r="A20" s="50" t="s">
        <v>41</v>
      </c>
      <c r="B20" s="32" t="s">
        <v>26</v>
      </c>
      <c r="C20" s="648"/>
      <c r="D20" s="648"/>
      <c r="E20" s="648"/>
      <c r="F20" s="648"/>
      <c r="G20" s="71">
        <f>G19/G18*3</f>
        <v>2.3755629921259841E-3</v>
      </c>
      <c r="H20" s="648"/>
      <c r="I20" s="71">
        <f>I19/I18</f>
        <v>1.0436826640548482E-4</v>
      </c>
      <c r="J20" s="648"/>
      <c r="K20" s="71">
        <v>0</v>
      </c>
      <c r="L20" s="648"/>
    </row>
    <row r="21" spans="1:12" ht="33" customHeight="1" x14ac:dyDescent="0.25">
      <c r="A21" s="50" t="s">
        <v>18</v>
      </c>
      <c r="B21" s="32" t="s">
        <v>182</v>
      </c>
      <c r="C21" s="648"/>
      <c r="D21" s="648"/>
      <c r="E21" s="648"/>
      <c r="F21" s="648"/>
      <c r="G21" s="368">
        <f>G18</f>
        <v>90.070921985815616</v>
      </c>
      <c r="H21" s="648"/>
      <c r="I21" s="368">
        <f>I18</f>
        <v>103.02724520686175</v>
      </c>
      <c r="J21" s="648"/>
      <c r="K21" s="369">
        <f>K18</f>
        <v>105.95121951219512</v>
      </c>
      <c r="L21" s="648"/>
    </row>
    <row r="22" spans="1:12" ht="18.75" customHeight="1" x14ac:dyDescent="0.25">
      <c r="A22" s="51" t="s">
        <v>25</v>
      </c>
      <c r="B22" s="30" t="s">
        <v>29</v>
      </c>
      <c r="C22" s="649"/>
      <c r="D22" s="649"/>
      <c r="E22" s="649"/>
      <c r="F22" s="649"/>
      <c r="G22" s="18">
        <v>0</v>
      </c>
      <c r="H22" s="649"/>
      <c r="I22" s="18">
        <v>0</v>
      </c>
      <c r="J22" s="649"/>
      <c r="K22" s="18">
        <v>0</v>
      </c>
      <c r="L22" s="649"/>
    </row>
    <row r="23" spans="1:12" ht="7.5" customHeight="1" x14ac:dyDescent="0.25">
      <c r="A23" s="29"/>
      <c r="B23" s="3"/>
    </row>
    <row r="24" spans="1:12" x14ac:dyDescent="0.25">
      <c r="A24" s="509" t="s">
        <v>13</v>
      </c>
      <c r="B24" s="510"/>
      <c r="C24" s="10"/>
      <c r="D24" s="10"/>
      <c r="E24" s="10"/>
      <c r="F24" s="10"/>
      <c r="G24" s="10"/>
      <c r="H24" s="10"/>
      <c r="I24" s="10"/>
      <c r="J24" s="10"/>
      <c r="K24" s="10"/>
      <c r="L24" s="10"/>
    </row>
    <row r="25" spans="1:12" ht="28.5" customHeight="1" x14ac:dyDescent="0.25">
      <c r="A25" s="40">
        <v>4</v>
      </c>
      <c r="B25" s="44" t="s">
        <v>183</v>
      </c>
      <c r="C25" s="641" t="s">
        <v>67</v>
      </c>
      <c r="D25" s="641" t="s">
        <v>67</v>
      </c>
      <c r="E25" s="641" t="s">
        <v>67</v>
      </c>
      <c r="F25" s="641" t="s">
        <v>67</v>
      </c>
      <c r="G25" s="372">
        <f>7.3/G7</f>
        <v>7.3961499493414387</v>
      </c>
      <c r="H25" s="641" t="s">
        <v>67</v>
      </c>
      <c r="I25" s="361">
        <f>13.2/I7</f>
        <v>13.319878910191726</v>
      </c>
      <c r="J25" s="641" t="s">
        <v>67</v>
      </c>
      <c r="K25" s="361">
        <f>6.4/K7</f>
        <v>6.2439024390243913</v>
      </c>
      <c r="L25" s="641" t="s">
        <v>67</v>
      </c>
    </row>
    <row r="26" spans="1:12" ht="45" x14ac:dyDescent="0.25">
      <c r="A26" s="48" t="s">
        <v>19</v>
      </c>
      <c r="B26" s="30" t="s">
        <v>0</v>
      </c>
      <c r="C26" s="642"/>
      <c r="D26" s="642"/>
      <c r="E26" s="642"/>
      <c r="F26" s="642"/>
      <c r="G26" s="75">
        <v>0.06</v>
      </c>
      <c r="H26" s="642"/>
      <c r="I26" s="367" t="s">
        <v>180</v>
      </c>
      <c r="J26" s="642"/>
      <c r="K26" s="75">
        <v>0.06</v>
      </c>
      <c r="L26" s="642"/>
    </row>
    <row r="27" spans="1:12" ht="39.75" customHeight="1" x14ac:dyDescent="0.25">
      <c r="A27" s="40">
        <v>5</v>
      </c>
      <c r="B27" s="45" t="s">
        <v>184</v>
      </c>
      <c r="C27" s="642"/>
      <c r="D27" s="642"/>
      <c r="E27" s="642"/>
      <c r="F27" s="642"/>
      <c r="G27" s="644" t="s">
        <v>67</v>
      </c>
      <c r="H27" s="642"/>
      <c r="I27" s="644" t="s">
        <v>67</v>
      </c>
      <c r="J27" s="642"/>
      <c r="K27" s="644" t="s">
        <v>67</v>
      </c>
      <c r="L27" s="642"/>
    </row>
    <row r="28" spans="1:12" ht="48" customHeight="1" x14ac:dyDescent="0.25">
      <c r="A28" s="49" t="s">
        <v>20</v>
      </c>
      <c r="B28" s="34" t="s">
        <v>42</v>
      </c>
      <c r="C28" s="642"/>
      <c r="D28" s="642"/>
      <c r="E28" s="642"/>
      <c r="F28" s="642"/>
      <c r="G28" s="645"/>
      <c r="H28" s="642"/>
      <c r="I28" s="645"/>
      <c r="J28" s="642"/>
      <c r="K28" s="645"/>
      <c r="L28" s="642"/>
    </row>
    <row r="29" spans="1:12" ht="36" customHeight="1" x14ac:dyDescent="0.25">
      <c r="A29" s="49" t="s">
        <v>21</v>
      </c>
      <c r="B29" s="34" t="s">
        <v>34</v>
      </c>
      <c r="C29" s="643"/>
      <c r="D29" s="643"/>
      <c r="E29" s="643"/>
      <c r="F29" s="643"/>
      <c r="G29" s="646"/>
      <c r="H29" s="643"/>
      <c r="I29" s="646"/>
      <c r="J29" s="643"/>
      <c r="K29" s="646"/>
      <c r="L29" s="643"/>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362" t="s">
        <v>67</v>
      </c>
      <c r="D31" s="362" t="s">
        <v>67</v>
      </c>
      <c r="E31" s="362" t="s">
        <v>67</v>
      </c>
      <c r="F31" s="362" t="s">
        <v>67</v>
      </c>
      <c r="G31" s="362" t="s">
        <v>67</v>
      </c>
      <c r="H31" s="362" t="s">
        <v>67</v>
      </c>
      <c r="I31" s="362" t="s">
        <v>67</v>
      </c>
      <c r="J31" s="362" t="s">
        <v>67</v>
      </c>
      <c r="K31" s="362" t="s">
        <v>67</v>
      </c>
      <c r="L31" s="362" t="s">
        <v>67</v>
      </c>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185</v>
      </c>
      <c r="D35" s="521"/>
      <c r="E35" s="526" t="s">
        <v>185</v>
      </c>
      <c r="F35" s="521"/>
      <c r="G35" s="526" t="s">
        <v>185</v>
      </c>
      <c r="H35" s="521"/>
      <c r="I35" s="526" t="s">
        <v>185</v>
      </c>
      <c r="J35" s="521"/>
      <c r="K35" s="526" t="s">
        <v>185</v>
      </c>
      <c r="L35" s="521"/>
    </row>
    <row r="36" spans="1:13" x14ac:dyDescent="0.25">
      <c r="A36" s="39">
        <v>8</v>
      </c>
      <c r="B36" s="36" t="s">
        <v>186</v>
      </c>
      <c r="C36" s="633">
        <f>25000/C7</f>
        <v>27442.371020856201</v>
      </c>
      <c r="D36" s="634"/>
      <c r="E36" s="633">
        <f>25000/E7</f>
        <v>28184.89289740699</v>
      </c>
      <c r="F36" s="634"/>
      <c r="G36" s="633">
        <f>25000/G7</f>
        <v>25329.280648429583</v>
      </c>
      <c r="H36" s="634"/>
      <c r="I36" s="633">
        <f>25000/I7</f>
        <v>25227.043390514631</v>
      </c>
      <c r="J36" s="634"/>
      <c r="K36" s="633">
        <f>25000/K7</f>
        <v>24390.243902439026</v>
      </c>
      <c r="L36" s="634"/>
    </row>
    <row r="37" spans="1:13" ht="15.75" thickBot="1" x14ac:dyDescent="0.3">
      <c r="A37" s="98">
        <v>9</v>
      </c>
      <c r="B37" s="37" t="s">
        <v>44</v>
      </c>
      <c r="C37" s="486" t="s">
        <v>76</v>
      </c>
      <c r="D37" s="487"/>
      <c r="E37" s="486" t="s">
        <v>76</v>
      </c>
      <c r="F37" s="487"/>
      <c r="G37" s="486" t="s">
        <v>76</v>
      </c>
      <c r="H37" s="487"/>
      <c r="I37" s="486" t="s">
        <v>76</v>
      </c>
      <c r="J37" s="487"/>
      <c r="K37" s="486" t="s">
        <v>76</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ht="30" x14ac:dyDescent="0.25">
      <c r="A43" s="373" t="s">
        <v>187</v>
      </c>
      <c r="B43" s="374" t="s">
        <v>188</v>
      </c>
    </row>
    <row r="44" spans="1:13" x14ac:dyDescent="0.25">
      <c r="B44" s="3"/>
    </row>
    <row r="45" spans="1:13" ht="135" x14ac:dyDescent="0.25">
      <c r="A45" s="373" t="s">
        <v>189</v>
      </c>
      <c r="B45" s="374" t="s">
        <v>190</v>
      </c>
    </row>
    <row r="47" spans="1:13" ht="30" x14ac:dyDescent="0.25">
      <c r="A47" s="373" t="s">
        <v>191</v>
      </c>
      <c r="B47" s="375" t="s">
        <v>192</v>
      </c>
    </row>
    <row r="49" spans="1:2" ht="30" x14ac:dyDescent="0.25">
      <c r="A49" s="373" t="s">
        <v>193</v>
      </c>
      <c r="B49" s="375" t="s">
        <v>194</v>
      </c>
    </row>
    <row r="51" spans="1:2" ht="45" x14ac:dyDescent="0.25">
      <c r="A51" s="373" t="s">
        <v>195</v>
      </c>
      <c r="B51" s="375" t="s">
        <v>196</v>
      </c>
    </row>
  </sheetData>
  <mergeCells count="53">
    <mergeCell ref="B1:L1"/>
    <mergeCell ref="B2:L2"/>
    <mergeCell ref="B4:L4"/>
    <mergeCell ref="D5:G5"/>
    <mergeCell ref="C6:L6"/>
    <mergeCell ref="I8:J8"/>
    <mergeCell ref="K8:L8"/>
    <mergeCell ref="A11:B11"/>
    <mergeCell ref="A15:B15"/>
    <mergeCell ref="C16:C22"/>
    <mergeCell ref="D16:D22"/>
    <mergeCell ref="E16:E22"/>
    <mergeCell ref="F16:F22"/>
    <mergeCell ref="H16:H22"/>
    <mergeCell ref="J16:J22"/>
    <mergeCell ref="A8:A9"/>
    <mergeCell ref="B8:B9"/>
    <mergeCell ref="C8:D8"/>
    <mergeCell ref="E8:F8"/>
    <mergeCell ref="G8:H8"/>
    <mergeCell ref="L16:L22"/>
    <mergeCell ref="A24:B24"/>
    <mergeCell ref="C25:C29"/>
    <mergeCell ref="D25:D29"/>
    <mergeCell ref="E25:E29"/>
    <mergeCell ref="F25:F29"/>
    <mergeCell ref="H25:H29"/>
    <mergeCell ref="J25:J29"/>
    <mergeCell ref="L25:L29"/>
    <mergeCell ref="G27:G29"/>
    <mergeCell ref="C35:D35"/>
    <mergeCell ref="E35:F35"/>
    <mergeCell ref="G35:H35"/>
    <mergeCell ref="I35:J35"/>
    <mergeCell ref="K35:L35"/>
    <mergeCell ref="I27:I29"/>
    <mergeCell ref="K27:K29"/>
    <mergeCell ref="C30:L30"/>
    <mergeCell ref="C32:L32"/>
    <mergeCell ref="A34:B34"/>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topLeftCell="A4" zoomScale="80" zoomScaleNormal="80" workbookViewId="0">
      <selection activeCell="A4" sqref="A4"/>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 min="16" max="16" width="11.42578125" customWidth="1"/>
  </cols>
  <sheetData>
    <row r="1" spans="1:16" x14ac:dyDescent="0.25">
      <c r="B1" s="497" t="s">
        <v>9</v>
      </c>
      <c r="C1" s="497"/>
      <c r="D1" s="497"/>
      <c r="E1" s="497"/>
      <c r="F1" s="497"/>
      <c r="G1" s="497"/>
      <c r="H1" s="497"/>
      <c r="I1" s="497"/>
      <c r="J1" s="497"/>
      <c r="K1" s="497"/>
      <c r="L1" s="497"/>
    </row>
    <row r="2" spans="1:16" x14ac:dyDescent="0.25">
      <c r="B2" s="497" t="s">
        <v>10</v>
      </c>
      <c r="C2" s="497"/>
      <c r="D2" s="497"/>
      <c r="E2" s="497"/>
      <c r="F2" s="497"/>
      <c r="G2" s="497"/>
      <c r="H2" s="497"/>
      <c r="I2" s="497"/>
      <c r="J2" s="497"/>
      <c r="K2" s="497"/>
      <c r="L2" s="497"/>
    </row>
    <row r="3" spans="1:16" ht="8.25" customHeight="1" x14ac:dyDescent="0.25">
      <c r="B3" s="1"/>
      <c r="C3" s="1"/>
      <c r="D3" s="1"/>
      <c r="E3" s="1"/>
      <c r="F3" s="1"/>
      <c r="G3" s="1"/>
      <c r="H3" s="1"/>
      <c r="I3" s="1"/>
      <c r="J3" s="1"/>
      <c r="K3" s="1"/>
      <c r="L3" s="1"/>
    </row>
    <row r="4" spans="1:16" x14ac:dyDescent="0.25">
      <c r="B4" s="498" t="s">
        <v>36</v>
      </c>
      <c r="C4" s="498"/>
      <c r="D4" s="498"/>
      <c r="E4" s="498"/>
      <c r="F4" s="498"/>
      <c r="G4" s="498"/>
      <c r="H4" s="498"/>
      <c r="I4" s="498"/>
      <c r="J4" s="498"/>
      <c r="K4" s="498"/>
      <c r="L4" s="498"/>
      <c r="P4" s="376"/>
    </row>
    <row r="5" spans="1:16" x14ac:dyDescent="0.25">
      <c r="B5" s="13"/>
      <c r="C5" s="13"/>
      <c r="D5" s="13"/>
      <c r="E5" s="13"/>
      <c r="F5" s="13"/>
      <c r="G5" s="13"/>
      <c r="H5" s="13"/>
      <c r="I5" s="13"/>
      <c r="J5" s="13"/>
      <c r="K5" s="13"/>
      <c r="L5" s="13"/>
      <c r="P5" s="376"/>
    </row>
    <row r="6" spans="1:16" x14ac:dyDescent="0.25">
      <c r="B6" s="15" t="s">
        <v>11</v>
      </c>
      <c r="C6" s="547" t="s">
        <v>197</v>
      </c>
      <c r="D6" s="547"/>
      <c r="E6" s="547"/>
      <c r="F6" s="547"/>
      <c r="G6" s="547"/>
      <c r="H6" s="547"/>
      <c r="I6" s="547"/>
      <c r="J6" s="547"/>
      <c r="K6" s="547"/>
      <c r="L6" s="548"/>
      <c r="P6" s="376"/>
    </row>
    <row r="7" spans="1:16" ht="15.75" thickBot="1" x14ac:dyDescent="0.3">
      <c r="P7" s="376"/>
    </row>
    <row r="8" spans="1:16" x14ac:dyDescent="0.25">
      <c r="A8" s="507" t="s">
        <v>24</v>
      </c>
      <c r="B8" s="513" t="s">
        <v>8</v>
      </c>
      <c r="C8" s="501">
        <v>2012</v>
      </c>
      <c r="D8" s="502"/>
      <c r="E8" s="503">
        <v>2013</v>
      </c>
      <c r="F8" s="502"/>
      <c r="G8" s="503">
        <v>2014</v>
      </c>
      <c r="H8" s="502"/>
      <c r="I8" s="503">
        <v>2015</v>
      </c>
      <c r="J8" s="502"/>
      <c r="K8" s="501">
        <v>2016</v>
      </c>
      <c r="L8" s="502"/>
      <c r="P8" s="376"/>
    </row>
    <row r="9" spans="1:16"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6" ht="7.5" customHeight="1" x14ac:dyDescent="0.25">
      <c r="C10" s="2"/>
      <c r="D10" s="2"/>
      <c r="E10" s="2"/>
      <c r="F10" s="2"/>
      <c r="G10" s="2"/>
      <c r="H10" s="2"/>
      <c r="I10" s="2"/>
      <c r="J10" s="2"/>
      <c r="K10" s="2"/>
      <c r="L10" s="2"/>
      <c r="M10" s="2"/>
    </row>
    <row r="11" spans="1:16" x14ac:dyDescent="0.25">
      <c r="A11" s="511" t="s">
        <v>7</v>
      </c>
      <c r="B11" s="512"/>
      <c r="C11" s="10"/>
      <c r="D11" s="8"/>
      <c r="E11" s="7"/>
      <c r="F11" s="8"/>
      <c r="G11" s="7"/>
      <c r="H11" s="8"/>
      <c r="I11" s="7"/>
      <c r="J11" s="8"/>
      <c r="K11" s="7"/>
      <c r="L11" s="9"/>
    </row>
    <row r="12" spans="1:16" ht="35.25" customHeight="1" x14ac:dyDescent="0.25">
      <c r="A12" s="40">
        <v>1</v>
      </c>
      <c r="B12" s="31" t="s">
        <v>6</v>
      </c>
      <c r="C12" s="377">
        <f>+'IAEA Support (source data)'!I12</f>
        <v>167367.37400530503</v>
      </c>
      <c r="D12" s="47">
        <v>0</v>
      </c>
      <c r="E12" s="378">
        <f>+'IAEA Support (source data)'!J12</f>
        <v>170524.13793103449</v>
      </c>
      <c r="F12" s="47">
        <v>0</v>
      </c>
      <c r="G12" s="378">
        <f>+'IAEA Support (source data)'!K12</f>
        <v>226814.67268525297</v>
      </c>
      <c r="H12" s="47">
        <v>0</v>
      </c>
      <c r="I12" s="378">
        <f>+'IAEA Support (source data)'!L12</f>
        <v>192069.41490153188</v>
      </c>
      <c r="J12" s="47">
        <v>0</v>
      </c>
      <c r="K12" s="378">
        <f>+'IAEA Support (source data)'!M12</f>
        <v>173035.56485355648</v>
      </c>
      <c r="L12" s="47">
        <v>0</v>
      </c>
    </row>
    <row r="13" spans="1:16" ht="36.75" customHeight="1" x14ac:dyDescent="0.25">
      <c r="A13" s="48" t="s">
        <v>16</v>
      </c>
      <c r="B13" s="30" t="s">
        <v>31</v>
      </c>
      <c r="C13" s="75">
        <f>+'IAEA Support (source data)'!I17</f>
        <v>0.40173497811380815</v>
      </c>
      <c r="D13" s="43"/>
      <c r="E13" s="74">
        <f>+'IAEA Support (source data)'!J17</f>
        <v>0.33708784242513479</v>
      </c>
      <c r="F13" s="43"/>
      <c r="G13" s="74">
        <f>+'IAEA Support (source data)'!K17</f>
        <v>0.49518107648086623</v>
      </c>
      <c r="H13" s="43"/>
      <c r="I13" s="74">
        <f>+'IAEA Support (source data)'!L17</f>
        <v>0.37082170544895388</v>
      </c>
      <c r="J13" s="43"/>
      <c r="K13" s="74">
        <f>+'IAEA Support (source data)'!M17</f>
        <v>0.28645295800403126</v>
      </c>
      <c r="L13" s="43"/>
    </row>
    <row r="14" spans="1:16" ht="7.5" customHeight="1" x14ac:dyDescent="0.25">
      <c r="A14" s="29"/>
      <c r="B14" s="3"/>
    </row>
    <row r="15" spans="1:16" x14ac:dyDescent="0.25">
      <c r="A15" s="509" t="s">
        <v>1</v>
      </c>
      <c r="B15" s="510"/>
      <c r="C15" s="10"/>
      <c r="D15" s="8"/>
      <c r="E15" s="7"/>
      <c r="F15" s="8"/>
      <c r="G15" s="7"/>
      <c r="H15" s="8"/>
      <c r="I15" s="7"/>
      <c r="J15" s="8"/>
      <c r="K15" s="7"/>
      <c r="L15" s="9"/>
    </row>
    <row r="16" spans="1:16" ht="33" customHeight="1" x14ac:dyDescent="0.25">
      <c r="A16" s="40">
        <v>2</v>
      </c>
      <c r="B16" s="31" t="s">
        <v>5</v>
      </c>
      <c r="C16" s="16">
        <v>0</v>
      </c>
      <c r="D16" s="11">
        <v>0</v>
      </c>
      <c r="E16" s="65">
        <v>0</v>
      </c>
      <c r="F16" s="11">
        <v>0</v>
      </c>
      <c r="G16" s="65">
        <v>0</v>
      </c>
      <c r="H16" s="11">
        <v>0</v>
      </c>
      <c r="I16" s="65">
        <v>0</v>
      </c>
      <c r="J16" s="11">
        <v>0</v>
      </c>
      <c r="K16" s="65">
        <v>0</v>
      </c>
      <c r="L16" s="11">
        <v>0</v>
      </c>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19">
        <v>0</v>
      </c>
      <c r="D18" s="12">
        <v>0</v>
      </c>
      <c r="E18" s="20">
        <v>0</v>
      </c>
      <c r="F18" s="12">
        <v>0</v>
      </c>
      <c r="G18" s="20">
        <v>0</v>
      </c>
      <c r="H18" s="12">
        <v>0</v>
      </c>
      <c r="I18" s="20">
        <v>0</v>
      </c>
      <c r="J18" s="12">
        <v>0</v>
      </c>
      <c r="K18" s="20">
        <v>0</v>
      </c>
      <c r="L18" s="12">
        <v>0</v>
      </c>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t="s">
        <v>67</v>
      </c>
      <c r="D25" s="16" t="s">
        <v>67</v>
      </c>
      <c r="E25" s="16" t="s">
        <v>67</v>
      </c>
      <c r="F25" s="16" t="s">
        <v>67</v>
      </c>
      <c r="G25" s="16" t="s">
        <v>67</v>
      </c>
      <c r="H25" s="16" t="s">
        <v>67</v>
      </c>
      <c r="I25" s="16" t="s">
        <v>67</v>
      </c>
      <c r="J25" s="16" t="s">
        <v>67</v>
      </c>
      <c r="K25" s="16" t="s">
        <v>67</v>
      </c>
      <c r="L25" s="16" t="s">
        <v>67</v>
      </c>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t="s">
        <v>67</v>
      </c>
      <c r="D27" s="25" t="s">
        <v>67</v>
      </c>
      <c r="E27" s="21" t="s">
        <v>67</v>
      </c>
      <c r="F27" s="25" t="s">
        <v>67</v>
      </c>
      <c r="G27" s="21" t="s">
        <v>67</v>
      </c>
      <c r="H27" s="25" t="s">
        <v>67</v>
      </c>
      <c r="I27" s="21" t="s">
        <v>67</v>
      </c>
      <c r="J27" s="25" t="s">
        <v>67</v>
      </c>
      <c r="K27" s="21" t="s">
        <v>67</v>
      </c>
      <c r="L27" s="5" t="s">
        <v>67</v>
      </c>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t="s">
        <v>67</v>
      </c>
      <c r="D31" s="23" t="s">
        <v>67</v>
      </c>
      <c r="E31" s="16" t="s">
        <v>67</v>
      </c>
      <c r="F31" s="23" t="s">
        <v>67</v>
      </c>
      <c r="G31" s="16" t="s">
        <v>67</v>
      </c>
      <c r="H31" s="23" t="s">
        <v>67</v>
      </c>
      <c r="I31" s="16" t="s">
        <v>67</v>
      </c>
      <c r="J31" s="23" t="s">
        <v>67</v>
      </c>
      <c r="K31" s="16" t="s">
        <v>67</v>
      </c>
      <c r="L31" s="23" t="s">
        <v>67</v>
      </c>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0" t="s">
        <v>198</v>
      </c>
      <c r="D35" s="521"/>
      <c r="E35" s="520" t="s">
        <v>198</v>
      </c>
      <c r="F35" s="521"/>
      <c r="G35" s="520" t="s">
        <v>198</v>
      </c>
      <c r="H35" s="521"/>
      <c r="I35" s="520" t="s">
        <v>198</v>
      </c>
      <c r="J35" s="521"/>
      <c r="K35" s="520" t="s">
        <v>75</v>
      </c>
      <c r="L35" s="521"/>
    </row>
    <row r="36" spans="1:13" x14ac:dyDescent="0.25">
      <c r="A36" s="39">
        <v>8</v>
      </c>
      <c r="B36" s="36" t="s">
        <v>199</v>
      </c>
      <c r="C36" s="652">
        <v>28010.610079575596</v>
      </c>
      <c r="D36" s="653"/>
      <c r="E36" s="654">
        <v>29131.034482758623</v>
      </c>
      <c r="F36" s="653"/>
      <c r="G36" s="654">
        <v>25756.09756097561</v>
      </c>
      <c r="H36" s="653"/>
      <c r="I36" s="654">
        <v>23107.221006564552</v>
      </c>
      <c r="J36" s="653"/>
      <c r="K36" s="655">
        <f>33000/'IAEA Support (source data)'!S4</f>
        <v>34518.828451882844</v>
      </c>
      <c r="L36" s="656"/>
    </row>
    <row r="37" spans="1:13" ht="15.75" thickBot="1" x14ac:dyDescent="0.3">
      <c r="A37" s="98">
        <v>9</v>
      </c>
      <c r="B37" s="37" t="s">
        <v>44</v>
      </c>
      <c r="C37" s="486" t="s">
        <v>61</v>
      </c>
      <c r="D37" s="487"/>
      <c r="E37" s="490" t="s">
        <v>61</v>
      </c>
      <c r="F37" s="487"/>
      <c r="G37" s="490" t="s">
        <v>61</v>
      </c>
      <c r="H37" s="487"/>
      <c r="I37" s="490" t="s">
        <v>61</v>
      </c>
      <c r="J37" s="487"/>
      <c r="K37" s="490" t="s">
        <v>61</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ht="30.75" customHeight="1" x14ac:dyDescent="0.25">
      <c r="B41" s="651" t="s">
        <v>200</v>
      </c>
      <c r="C41" s="651"/>
      <c r="D41" s="651"/>
      <c r="E41" s="651"/>
      <c r="F41" s="651"/>
      <c r="G41" s="651"/>
      <c r="H41" s="651"/>
      <c r="I41" s="651"/>
      <c r="J41" s="651"/>
      <c r="K41" s="651"/>
      <c r="L41" s="651"/>
    </row>
    <row r="42" spans="1:13" x14ac:dyDescent="0.25">
      <c r="B42" s="3"/>
    </row>
    <row r="43" spans="1:13" x14ac:dyDescent="0.25">
      <c r="B43" s="3"/>
    </row>
    <row r="44" spans="1:13" x14ac:dyDescent="0.25">
      <c r="B44" s="3"/>
    </row>
    <row r="45" spans="1:13" x14ac:dyDescent="0.25">
      <c r="B45" s="3"/>
    </row>
  </sheetData>
  <mergeCells count="36">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B41:L41"/>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E43" sqref="E43"/>
    </sheetView>
  </sheetViews>
  <sheetFormatPr defaultRowHeight="15" x14ac:dyDescent="0.25"/>
  <cols>
    <col min="1" max="1" width="10.7109375" style="55" bestFit="1" customWidth="1"/>
    <col min="2" max="2" width="9" style="55" bestFit="1" customWidth="1"/>
    <col min="3" max="3" width="8.28515625" style="55" bestFit="1" customWidth="1"/>
    <col min="4" max="6" width="9.140625" style="55"/>
    <col min="7" max="7" width="47.140625" style="55" bestFit="1" customWidth="1"/>
    <col min="8" max="12" width="14.28515625" style="55" bestFit="1" customWidth="1"/>
    <col min="13" max="16384" width="9.140625" style="55"/>
  </cols>
  <sheetData>
    <row r="1" spans="1:12" x14ac:dyDescent="0.25">
      <c r="B1" s="55" t="s">
        <v>50</v>
      </c>
      <c r="C1" s="55" t="s">
        <v>51</v>
      </c>
    </row>
    <row r="2" spans="1:12" x14ac:dyDescent="0.25">
      <c r="A2" s="55" t="s">
        <v>48</v>
      </c>
      <c r="B2" s="55" t="s">
        <v>49</v>
      </c>
    </row>
    <row r="3" spans="1:12" x14ac:dyDescent="0.25">
      <c r="A3" s="56">
        <v>41274</v>
      </c>
      <c r="B3" s="57">
        <v>0.61899999999999999</v>
      </c>
      <c r="C3" s="57">
        <v>0.63023076923076915</v>
      </c>
    </row>
    <row r="4" spans="1:12" x14ac:dyDescent="0.25">
      <c r="A4" s="56">
        <v>41639</v>
      </c>
      <c r="B4" s="57">
        <v>0.60499999999999998</v>
      </c>
      <c r="C4" s="57">
        <v>0.63926666666666676</v>
      </c>
      <c r="G4" s="55" t="s">
        <v>58</v>
      </c>
      <c r="H4" s="57">
        <v>0.63023076923076915</v>
      </c>
      <c r="I4" s="57">
        <v>0.63926666666666676</v>
      </c>
      <c r="J4" s="57">
        <v>0.61180000000000001</v>
      </c>
      <c r="K4" s="57">
        <v>0.6552941176470588</v>
      </c>
      <c r="L4" s="57">
        <v>0.73345000000000005</v>
      </c>
    </row>
    <row r="5" spans="1:12" x14ac:dyDescent="0.25">
      <c r="A5" s="56">
        <v>42004</v>
      </c>
      <c r="B5" s="57">
        <v>0.64400000000000002</v>
      </c>
      <c r="C5" s="57">
        <v>0.61180000000000001</v>
      </c>
    </row>
    <row r="6" spans="1:12" x14ac:dyDescent="0.25">
      <c r="A6" s="56">
        <v>42369</v>
      </c>
      <c r="B6" s="57">
        <v>0.67500000000000004</v>
      </c>
      <c r="C6" s="57">
        <v>0.6552941176470588</v>
      </c>
      <c r="H6" s="29">
        <v>2012</v>
      </c>
      <c r="I6" s="29">
        <v>2013</v>
      </c>
      <c r="J6" s="29">
        <v>2014</v>
      </c>
      <c r="K6" s="29">
        <v>2015</v>
      </c>
      <c r="L6" s="29">
        <v>2016</v>
      </c>
    </row>
    <row r="7" spans="1:12" x14ac:dyDescent="0.25">
      <c r="A7" s="56">
        <v>42735</v>
      </c>
      <c r="B7" s="57">
        <v>0.81699999999999995</v>
      </c>
      <c r="C7" s="57">
        <v>0.73345000000000005</v>
      </c>
      <c r="G7" s="58" t="s">
        <v>59</v>
      </c>
      <c r="H7" s="29" t="s">
        <v>52</v>
      </c>
      <c r="I7" s="29" t="s">
        <v>52</v>
      </c>
      <c r="J7" s="29" t="s">
        <v>52</v>
      </c>
      <c r="K7" s="29" t="s">
        <v>52</v>
      </c>
      <c r="L7" s="29" t="s">
        <v>52</v>
      </c>
    </row>
    <row r="8" spans="1:12" x14ac:dyDescent="0.25">
      <c r="G8" s="55" t="s">
        <v>53</v>
      </c>
      <c r="H8" s="59"/>
      <c r="I8" s="59">
        <v>62092</v>
      </c>
      <c r="J8" s="59">
        <v>62092</v>
      </c>
      <c r="K8" s="59">
        <v>62072</v>
      </c>
      <c r="L8" s="59">
        <v>72567</v>
      </c>
    </row>
    <row r="9" spans="1:12" x14ac:dyDescent="0.25">
      <c r="G9" s="55" t="s">
        <v>54</v>
      </c>
      <c r="H9" s="59">
        <v>592300</v>
      </c>
      <c r="I9" s="59">
        <v>635000</v>
      </c>
      <c r="J9" s="59">
        <v>651000</v>
      </c>
      <c r="K9" s="59">
        <v>662900</v>
      </c>
      <c r="L9" s="59">
        <v>850000</v>
      </c>
    </row>
    <row r="10" spans="1:12" x14ac:dyDescent="0.25">
      <c r="G10" s="55" t="s">
        <v>55</v>
      </c>
      <c r="H10" s="59">
        <v>22056.59</v>
      </c>
      <c r="I10" s="59">
        <v>16136.81</v>
      </c>
      <c r="J10" s="59">
        <v>24009.7</v>
      </c>
      <c r="K10" s="59">
        <v>26599.119999999999</v>
      </c>
      <c r="L10" s="59">
        <v>22698.77</v>
      </c>
    </row>
    <row r="11" spans="1:12" x14ac:dyDescent="0.25">
      <c r="G11" s="55" t="s">
        <v>56</v>
      </c>
      <c r="H11" s="59"/>
      <c r="I11" s="59"/>
      <c r="J11" s="59">
        <v>4236.24</v>
      </c>
      <c r="K11" s="59">
        <v>17998.990000000002</v>
      </c>
      <c r="L11" s="59">
        <v>38673.21</v>
      </c>
    </row>
    <row r="12" spans="1:12" x14ac:dyDescent="0.25">
      <c r="G12" s="55" t="s">
        <v>57</v>
      </c>
      <c r="H12" s="59"/>
      <c r="I12" s="59"/>
      <c r="J12" s="59"/>
      <c r="K12" s="59"/>
      <c r="L12" s="59">
        <v>6000000</v>
      </c>
    </row>
    <row r="13" spans="1:12" x14ac:dyDescent="0.25">
      <c r="H13" s="60">
        <f t="shared" ref="H13:K13" si="0">SUM(H8:H12)</f>
        <v>614356.59</v>
      </c>
      <c r="I13" s="60">
        <f t="shared" si="0"/>
        <v>713228.81</v>
      </c>
      <c r="J13" s="60">
        <f t="shared" si="0"/>
        <v>741337.94</v>
      </c>
      <c r="K13" s="60">
        <f t="shared" si="0"/>
        <v>769570.11</v>
      </c>
      <c r="L13" s="60">
        <f>SUM(L8:L12)</f>
        <v>6983938.9800000004</v>
      </c>
    </row>
    <row r="14" spans="1:12" x14ac:dyDescent="0.25">
      <c r="G14" s="55" t="s">
        <v>12</v>
      </c>
      <c r="H14" s="61">
        <f>+ROUND((H13/H4),0)</f>
        <v>974812</v>
      </c>
      <c r="I14" s="61">
        <f t="shared" ref="I14:L14" si="1">+ROUND((I13/I4),0)</f>
        <v>1115698</v>
      </c>
      <c r="J14" s="61">
        <f t="shared" si="1"/>
        <v>1211732</v>
      </c>
      <c r="K14" s="61">
        <f t="shared" si="1"/>
        <v>1174389</v>
      </c>
      <c r="L14" s="61">
        <f t="shared" si="1"/>
        <v>9522038</v>
      </c>
    </row>
    <row r="20" spans="7:12" x14ac:dyDescent="0.25">
      <c r="G20" s="55" t="s">
        <v>58</v>
      </c>
      <c r="H20" s="57">
        <v>0.63023076923076915</v>
      </c>
      <c r="I20" s="57">
        <v>0.63926666666666676</v>
      </c>
      <c r="J20" s="57">
        <v>0.61180000000000001</v>
      </c>
      <c r="K20" s="57">
        <v>0.6552941176470588</v>
      </c>
      <c r="L20" s="57">
        <v>0.73345000000000005</v>
      </c>
    </row>
    <row r="21" spans="7:12" x14ac:dyDescent="0.25">
      <c r="H21" s="29">
        <v>2012</v>
      </c>
      <c r="I21" s="29">
        <v>2013</v>
      </c>
      <c r="J21" s="29">
        <v>2014</v>
      </c>
      <c r="K21" s="29">
        <v>2015</v>
      </c>
      <c r="L21" s="29">
        <v>2016</v>
      </c>
    </row>
    <row r="22" spans="7:12" x14ac:dyDescent="0.25">
      <c r="H22" s="29" t="s">
        <v>52</v>
      </c>
      <c r="I22" s="29" t="s">
        <v>52</v>
      </c>
      <c r="J22" s="29" t="s">
        <v>52</v>
      </c>
      <c r="K22" s="29" t="s">
        <v>52</v>
      </c>
      <c r="L22" s="29" t="s">
        <v>52</v>
      </c>
    </row>
    <row r="23" spans="7:12" x14ac:dyDescent="0.25">
      <c r="G23" s="55" t="s">
        <v>64</v>
      </c>
      <c r="H23" s="59"/>
      <c r="I23" s="59">
        <v>18600</v>
      </c>
      <c r="J23" s="59"/>
      <c r="K23" s="59">
        <f>16000+3200</f>
        <v>19200</v>
      </c>
      <c r="L23" s="59">
        <v>4200</v>
      </c>
    </row>
    <row r="24" spans="7:12" x14ac:dyDescent="0.25">
      <c r="G24" s="55" t="s">
        <v>4</v>
      </c>
      <c r="H24" s="61">
        <f>+ROUND((H23/H20),0)</f>
        <v>0</v>
      </c>
      <c r="I24" s="61">
        <f t="shared" ref="I24:L24" si="2">+ROUND((I23/I20),0)</f>
        <v>29096</v>
      </c>
      <c r="J24" s="61">
        <f t="shared" si="2"/>
        <v>0</v>
      </c>
      <c r="K24" s="61">
        <f t="shared" si="2"/>
        <v>29300</v>
      </c>
      <c r="L24" s="61">
        <f t="shared" si="2"/>
        <v>5726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T20"/>
  <sheetViews>
    <sheetView zoomScale="90" zoomScaleNormal="90" workbookViewId="0">
      <selection activeCell="I21" sqref="I21"/>
    </sheetView>
  </sheetViews>
  <sheetFormatPr defaultRowHeight="15" x14ac:dyDescent="0.25"/>
  <cols>
    <col min="7" max="7" width="25.5703125" customWidth="1"/>
    <col min="9" max="12" width="17.140625" customWidth="1"/>
    <col min="13" max="13" width="15.28515625" customWidth="1"/>
    <col min="14" max="14" width="11.5703125" customWidth="1"/>
    <col min="18" max="18" width="11.28515625" customWidth="1"/>
  </cols>
  <sheetData>
    <row r="1" spans="3:20" x14ac:dyDescent="0.25">
      <c r="N1" s="238"/>
    </row>
    <row r="2" spans="3:20" x14ac:dyDescent="0.25">
      <c r="I2" s="657" t="s">
        <v>222</v>
      </c>
      <c r="J2" s="657"/>
      <c r="K2" s="657"/>
      <c r="N2" s="238"/>
    </row>
    <row r="3" spans="3:20" ht="38.25" x14ac:dyDescent="0.25">
      <c r="C3" s="404"/>
      <c r="D3" s="402" t="s">
        <v>221</v>
      </c>
      <c r="E3" s="404" t="s">
        <v>220</v>
      </c>
      <c r="F3" s="403"/>
      <c r="G3" s="403"/>
      <c r="H3" s="402" t="s">
        <v>219</v>
      </c>
      <c r="I3" s="401" t="s">
        <v>218</v>
      </c>
      <c r="J3" s="401" t="s">
        <v>217</v>
      </c>
      <c r="K3" s="401" t="s">
        <v>216</v>
      </c>
      <c r="L3" s="401" t="s">
        <v>215</v>
      </c>
      <c r="M3" s="401" t="s">
        <v>214</v>
      </c>
      <c r="N3" s="238"/>
      <c r="S3" s="400" t="s">
        <v>213</v>
      </c>
      <c r="T3" t="s">
        <v>212</v>
      </c>
    </row>
    <row r="4" spans="3:20" x14ac:dyDescent="0.25">
      <c r="C4" s="387"/>
      <c r="D4" s="388"/>
      <c r="E4" s="398"/>
      <c r="F4" s="398"/>
      <c r="G4" s="387"/>
      <c r="H4" s="388"/>
      <c r="I4" s="388"/>
      <c r="J4" s="388"/>
      <c r="K4" s="388"/>
      <c r="L4" s="388"/>
      <c r="N4" s="238"/>
      <c r="R4" s="395">
        <v>42735</v>
      </c>
      <c r="S4">
        <v>0.95599999999999996</v>
      </c>
    </row>
    <row r="5" spans="3:20" x14ac:dyDescent="0.25">
      <c r="C5" s="387"/>
      <c r="D5" s="388"/>
      <c r="E5" s="398" t="s">
        <v>211</v>
      </c>
      <c r="F5" s="387"/>
      <c r="G5" s="387"/>
      <c r="H5" s="388"/>
      <c r="I5" s="389"/>
      <c r="J5" s="389"/>
      <c r="K5" s="389"/>
      <c r="L5" s="389"/>
      <c r="N5" s="238"/>
      <c r="R5" s="395">
        <v>42369</v>
      </c>
      <c r="S5">
        <v>0.91400000000000003</v>
      </c>
    </row>
    <row r="6" spans="3:20" x14ac:dyDescent="0.25">
      <c r="C6" s="387" t="s">
        <v>209</v>
      </c>
      <c r="D6" s="388"/>
      <c r="E6" s="399"/>
      <c r="F6" s="399"/>
      <c r="G6" s="387" t="s">
        <v>208</v>
      </c>
      <c r="H6" s="388"/>
      <c r="I6" s="389">
        <v>2617014.2999999989</v>
      </c>
      <c r="J6" s="389">
        <v>3029066.2400000007</v>
      </c>
      <c r="K6" s="389">
        <v>3279705.9666666775</v>
      </c>
      <c r="L6" s="389">
        <v>3728961.9900000701</v>
      </c>
      <c r="N6" s="238"/>
      <c r="R6" s="395">
        <v>42004</v>
      </c>
      <c r="S6">
        <v>0.82</v>
      </c>
    </row>
    <row r="7" spans="3:20" x14ac:dyDescent="0.25">
      <c r="C7" s="387"/>
      <c r="D7" s="388"/>
      <c r="E7" s="398" t="s">
        <v>210</v>
      </c>
      <c r="F7" s="387"/>
      <c r="G7" s="387"/>
      <c r="H7" s="388"/>
      <c r="I7" s="389"/>
      <c r="J7" s="389"/>
      <c r="K7" s="389"/>
      <c r="L7" s="389"/>
      <c r="N7" s="238"/>
      <c r="R7" s="395">
        <v>41639</v>
      </c>
      <c r="S7">
        <v>0.72499999999999998</v>
      </c>
    </row>
    <row r="8" spans="3:20" x14ac:dyDescent="0.25">
      <c r="C8" s="391" t="s">
        <v>209</v>
      </c>
      <c r="D8" s="390"/>
      <c r="E8" s="397"/>
      <c r="F8" s="397"/>
      <c r="G8" s="387" t="s">
        <v>208</v>
      </c>
      <c r="H8" s="390"/>
      <c r="I8" s="396">
        <v>123577985.7</v>
      </c>
      <c r="J8" s="396">
        <v>120600933.76000001</v>
      </c>
      <c r="K8" s="396">
        <v>182708325.63524076</v>
      </c>
      <c r="L8" s="396">
        <v>171822483.23000008</v>
      </c>
      <c r="N8" s="238"/>
      <c r="R8" s="395">
        <v>41274</v>
      </c>
      <c r="S8">
        <v>0.754</v>
      </c>
    </row>
    <row r="9" spans="3:20" ht="15.75" thickBot="1" x14ac:dyDescent="0.3">
      <c r="C9" s="394" t="s">
        <v>207</v>
      </c>
      <c r="D9" s="393"/>
      <c r="E9" s="394"/>
      <c r="F9" s="394"/>
      <c r="G9" s="394" t="s">
        <v>206</v>
      </c>
      <c r="H9" s="393"/>
      <c r="I9" s="392">
        <f>SUM(I6:I8)</f>
        <v>126195000</v>
      </c>
      <c r="J9" s="392">
        <f>SUM(J6:J8)</f>
        <v>123630000</v>
      </c>
      <c r="K9" s="392">
        <v>185988031.60190743</v>
      </c>
      <c r="L9" s="392">
        <v>175551445.22000015</v>
      </c>
      <c r="N9" s="238"/>
    </row>
    <row r="10" spans="3:20" ht="15.75" thickTop="1" x14ac:dyDescent="0.25">
      <c r="C10" s="391"/>
      <c r="D10" s="390"/>
      <c r="E10" s="391"/>
      <c r="F10" s="391"/>
      <c r="G10" s="391"/>
      <c r="H10" s="390"/>
      <c r="I10" s="389"/>
      <c r="J10" s="389"/>
      <c r="K10" s="389"/>
      <c r="L10" s="389"/>
    </row>
    <row r="11" spans="3:20" x14ac:dyDescent="0.25">
      <c r="C11" s="387"/>
      <c r="D11" s="388"/>
      <c r="E11" s="387"/>
      <c r="F11" s="387"/>
      <c r="G11" s="387" t="s">
        <v>205</v>
      </c>
      <c r="H11" s="383" t="s">
        <v>204</v>
      </c>
      <c r="I11" s="238">
        <v>126195</v>
      </c>
      <c r="J11" s="238">
        <v>123630</v>
      </c>
      <c r="K11" s="238">
        <f>K9/1000</f>
        <v>185988.03160190742</v>
      </c>
      <c r="L11" s="238">
        <f>L9/1000</f>
        <v>175551.44522000014</v>
      </c>
      <c r="M11" s="238">
        <v>165422</v>
      </c>
      <c r="N11" s="238"/>
    </row>
    <row r="12" spans="3:20" x14ac:dyDescent="0.25">
      <c r="G12" s="382" t="s">
        <v>205</v>
      </c>
      <c r="H12" s="386" t="s">
        <v>202</v>
      </c>
      <c r="I12" s="385">
        <f>I11/S8</f>
        <v>167367.37400530503</v>
      </c>
      <c r="J12" s="385">
        <f>J11/S7</f>
        <v>170524.13793103449</v>
      </c>
      <c r="K12" s="385">
        <f>K11/S6</f>
        <v>226814.67268525297</v>
      </c>
      <c r="L12" s="385">
        <f>L11/S5</f>
        <v>192069.41490153188</v>
      </c>
      <c r="M12" s="385">
        <f>M11/S4</f>
        <v>173035.56485355648</v>
      </c>
      <c r="N12" s="238"/>
    </row>
    <row r="13" spans="3:20" x14ac:dyDescent="0.25">
      <c r="I13" s="238"/>
      <c r="J13" s="238"/>
      <c r="K13" s="238"/>
      <c r="L13" s="238"/>
      <c r="M13" s="238"/>
      <c r="N13" s="238"/>
    </row>
    <row r="14" spans="3:20" x14ac:dyDescent="0.25">
      <c r="G14" s="384" t="s">
        <v>203</v>
      </c>
      <c r="H14" s="383" t="s">
        <v>204</v>
      </c>
      <c r="I14" s="238">
        <v>314125</v>
      </c>
      <c r="J14" s="238">
        <v>366759</v>
      </c>
      <c r="K14" s="238">
        <v>375596</v>
      </c>
      <c r="L14" s="238">
        <v>473412</v>
      </c>
      <c r="M14" s="238">
        <v>577484</v>
      </c>
      <c r="N14" s="238"/>
    </row>
    <row r="15" spans="3:20" x14ac:dyDescent="0.25">
      <c r="G15" s="384" t="s">
        <v>203</v>
      </c>
      <c r="H15" s="383" t="s">
        <v>202</v>
      </c>
      <c r="I15" s="238">
        <f>I14/S8</f>
        <v>416611.40583554376</v>
      </c>
      <c r="J15" s="238">
        <f>J14/S7</f>
        <v>505874.4827586207</v>
      </c>
      <c r="K15" s="238">
        <f>K14/S6</f>
        <v>458043.90243902442</v>
      </c>
      <c r="L15" s="238">
        <f>L14/S5</f>
        <v>517956.23632385116</v>
      </c>
      <c r="M15" s="238">
        <f>M14/S4</f>
        <v>604062.76150627621</v>
      </c>
      <c r="N15" s="238"/>
    </row>
    <row r="17" spans="7:13" x14ac:dyDescent="0.25">
      <c r="G17" s="382" t="s">
        <v>201</v>
      </c>
      <c r="H17" s="381"/>
      <c r="I17" s="380">
        <f>I12/I15</f>
        <v>0.40173497811380815</v>
      </c>
      <c r="J17" s="380">
        <f>J12/J15</f>
        <v>0.33708784242513479</v>
      </c>
      <c r="K17" s="380">
        <f>K12/K15</f>
        <v>0.49518107648086623</v>
      </c>
      <c r="L17" s="380">
        <f>L12/L15</f>
        <v>0.37082170544895388</v>
      </c>
      <c r="M17" s="380">
        <f>M12/M15</f>
        <v>0.28645295800403126</v>
      </c>
    </row>
    <row r="19" spans="7:13" x14ac:dyDescent="0.25">
      <c r="I19" s="379"/>
      <c r="J19" s="379"/>
    </row>
    <row r="20" spans="7:13" x14ac:dyDescent="0.25">
      <c r="I20" s="379"/>
      <c r="J20" s="379"/>
    </row>
  </sheetData>
  <mergeCells count="1">
    <mergeCell ref="I2:K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3"/>
  <sheetViews>
    <sheetView tabSelected="1" zoomScale="110" zoomScaleNormal="110" workbookViewId="0">
      <selection activeCell="C6" sqref="C6:L6"/>
    </sheetView>
  </sheetViews>
  <sheetFormatPr defaultRowHeight="15" x14ac:dyDescent="0.25"/>
  <cols>
    <col min="1" max="1" width="5.5703125" customWidth="1"/>
    <col min="2" max="2" width="52.140625" customWidth="1"/>
    <col min="3" max="3" width="15.140625" bestFit="1" customWidth="1"/>
    <col min="4" max="4" width="12.28515625" bestFit="1" customWidth="1"/>
    <col min="5" max="5" width="15.140625" bestFit="1" customWidth="1"/>
    <col min="6" max="6" width="12.28515625" bestFit="1" customWidth="1"/>
    <col min="7" max="7" width="15.140625" bestFit="1" customWidth="1"/>
    <col min="8" max="8" width="12.28515625" bestFit="1" customWidth="1"/>
    <col min="9" max="9" width="15.140625" bestFit="1" customWidth="1"/>
    <col min="10" max="10" width="12.5703125" bestFit="1" customWidth="1"/>
    <col min="11" max="11" width="15.140625" bestFit="1" customWidth="1"/>
    <col min="12" max="12" width="12.28515625" bestFit="1" customWidth="1"/>
    <col min="13" max="13" width="11.5703125" bestFit="1"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674" t="s">
        <v>261</v>
      </c>
      <c r="D6" s="674"/>
      <c r="E6" s="674"/>
      <c r="F6" s="674"/>
      <c r="G6" s="674"/>
      <c r="H6" s="674"/>
      <c r="I6" s="674"/>
      <c r="J6" s="674"/>
      <c r="K6" s="674"/>
      <c r="L6" s="675"/>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202">
        <f>+'[3]ASHI Liability'!$D$21+305489837</f>
        <v>1801006593.118995</v>
      </c>
      <c r="D12" s="201"/>
      <c r="E12" s="676">
        <f>+'[3]ASHI Liability'!$E$21+275398465</f>
        <v>1870373220</v>
      </c>
      <c r="F12" s="201"/>
      <c r="G12" s="676">
        <f>+'[3]ASHI Liability'!$F$21+318823083</f>
        <v>2236883260</v>
      </c>
      <c r="H12" s="201"/>
      <c r="I12" s="99">
        <f>+'[4]Other Liability Notes'!$G$43*1000</f>
        <v>2211201421</v>
      </c>
      <c r="J12" s="201"/>
      <c r="K12" s="99">
        <f>+'[4]Other Liability Notes'!$E$43*1000</f>
        <v>2361861071</v>
      </c>
      <c r="L12" s="201"/>
    </row>
    <row r="13" spans="1:13" ht="36.75" customHeight="1" x14ac:dyDescent="0.25">
      <c r="A13" s="48" t="s">
        <v>16</v>
      </c>
      <c r="B13" s="30" t="s">
        <v>31</v>
      </c>
      <c r="C13" s="677">
        <f>+C12/C18*100</f>
        <v>310.78580604145412</v>
      </c>
      <c r="D13" s="43"/>
      <c r="E13" s="678">
        <f>+E12/E18*100</f>
        <v>293.93245193163227</v>
      </c>
      <c r="F13" s="43"/>
      <c r="G13" s="678">
        <f>+G12/G18*100</f>
        <v>330.46869781102288</v>
      </c>
      <c r="H13" s="43"/>
      <c r="I13" s="678">
        <f>+I12/I18*100</f>
        <v>318.64624500816825</v>
      </c>
      <c r="J13" s="43"/>
      <c r="K13" s="678">
        <f>+K12/K18*100</f>
        <v>288.2889485099351</v>
      </c>
      <c r="L13" s="43"/>
    </row>
    <row r="14" spans="1:13" ht="7.5" customHeight="1" x14ac:dyDescent="0.25">
      <c r="A14" s="29"/>
      <c r="B14" s="478"/>
    </row>
    <row r="15" spans="1:13" x14ac:dyDescent="0.25">
      <c r="A15" s="509" t="s">
        <v>1</v>
      </c>
      <c r="B15" s="510"/>
      <c r="C15" s="10"/>
      <c r="D15" s="8"/>
      <c r="E15" s="7"/>
      <c r="F15" s="8"/>
      <c r="G15" s="7"/>
      <c r="H15" s="8"/>
      <c r="I15" s="7"/>
      <c r="J15" s="8"/>
      <c r="K15" s="7"/>
      <c r="L15" s="9"/>
    </row>
    <row r="16" spans="1:13" ht="33" customHeight="1" x14ac:dyDescent="0.25">
      <c r="A16" s="40">
        <v>2</v>
      </c>
      <c r="B16" s="44" t="s">
        <v>5</v>
      </c>
      <c r="C16" s="202">
        <f>+'[5]Statement II'!$M$13</f>
        <v>73100179.269999996</v>
      </c>
      <c r="D16" s="201"/>
      <c r="E16" s="676">
        <f>+'[6]Statement II'!$M$13</f>
        <v>58847484.13000001</v>
      </c>
      <c r="F16" s="201"/>
      <c r="G16" s="676">
        <f>+'[6]Statement II'!$K$13</f>
        <v>47212816.469999999</v>
      </c>
      <c r="H16" s="201"/>
      <c r="I16" s="676">
        <f>+'[4]Statement II'!$M$15*1000</f>
        <v>16888414</v>
      </c>
      <c r="J16" s="201"/>
      <c r="K16" s="676">
        <f>+'[4]Statement II'!$K$15*1000</f>
        <v>125020552.76000001</v>
      </c>
      <c r="L16" s="207"/>
    </row>
    <row r="17" spans="1:14" ht="36" customHeight="1" x14ac:dyDescent="0.25">
      <c r="A17" s="48" t="s">
        <v>17</v>
      </c>
      <c r="B17" s="30" t="s">
        <v>282</v>
      </c>
      <c r="C17" s="679" t="s">
        <v>262</v>
      </c>
      <c r="D17" s="680"/>
      <c r="E17" s="679" t="s">
        <v>262</v>
      </c>
      <c r="F17" s="680"/>
      <c r="G17" s="679" t="s">
        <v>262</v>
      </c>
      <c r="H17" s="680"/>
      <c r="I17" s="679" t="s">
        <v>262</v>
      </c>
      <c r="J17" s="680"/>
      <c r="K17" s="681" t="s">
        <v>262</v>
      </c>
      <c r="L17" s="6"/>
    </row>
    <row r="18" spans="1:14" ht="18" customHeight="1" x14ac:dyDescent="0.25">
      <c r="A18" s="40">
        <v>3</v>
      </c>
      <c r="B18" s="44" t="s">
        <v>12</v>
      </c>
      <c r="C18" s="682">
        <f>+'[5]Fund Balance Notes'!$I$9-'[5]Fund Balance Notes'!$I$6</f>
        <v>579500916.09999979</v>
      </c>
      <c r="D18" s="683">
        <f>+E18-C18</f>
        <v>56826650.900000215</v>
      </c>
      <c r="E18" s="684">
        <f>+'[6]Fund Balance Notes'!$I$9-'[6]Fund Balance Notes'!$I$6</f>
        <v>636327567</v>
      </c>
      <c r="F18" s="683">
        <f>+G18-E18</f>
        <v>40554472</v>
      </c>
      <c r="G18" s="684">
        <f>+'[6]Fund Balance Notes'!$G$9-'[6]Fund Balance Notes'!$G$6</f>
        <v>676882039</v>
      </c>
      <c r="H18" s="683">
        <f>+I18-G18</f>
        <v>17054090.999999642</v>
      </c>
      <c r="I18" s="684">
        <f>+('[4]Fund Balance Notes'!$I$10-'[4]Fund Balance Notes'!$I$6)*1000</f>
        <v>693936129.99999964</v>
      </c>
      <c r="J18" s="683">
        <f>+K18-I18</f>
        <v>125332552.76000035</v>
      </c>
      <c r="K18" s="684">
        <f>+('[4]Fund Balance Notes'!$G$10-'[4]Fund Balance Notes'!$G$6)*1000</f>
        <v>819268682.75999999</v>
      </c>
      <c r="L18" s="210"/>
    </row>
    <row r="19" spans="1:14" ht="36" customHeight="1" x14ac:dyDescent="0.25">
      <c r="A19" s="49" t="s">
        <v>37</v>
      </c>
      <c r="B19" s="32" t="s">
        <v>35</v>
      </c>
      <c r="C19" s="685">
        <f>+'[5]Revenue and Expense Notes 1'!$G$17</f>
        <v>44388444.440000005</v>
      </c>
      <c r="D19" s="210"/>
      <c r="E19" s="686">
        <f>+'[6]Revenue and Expense Notes 1'!$G$17</f>
        <v>33319541.040000003</v>
      </c>
      <c r="F19" s="210"/>
      <c r="G19" s="686">
        <f>+'[6]Revenue and Expense Notes 1'!$E$17</f>
        <v>14494076.639999999</v>
      </c>
      <c r="H19" s="210"/>
      <c r="I19" s="686">
        <f>+'[4]Revenue and Expense Notes 1'!$G$89*1000</f>
        <v>-13459046.970000001</v>
      </c>
      <c r="J19" s="210"/>
      <c r="K19" s="686">
        <f>+'[4]Revenue and Expense Notes 1'!$E$89*1000</f>
        <v>23665311.110000003</v>
      </c>
      <c r="L19" s="210"/>
    </row>
    <row r="20" spans="1:14" ht="18" customHeight="1" x14ac:dyDescent="0.25">
      <c r="A20" s="50" t="s">
        <v>41</v>
      </c>
      <c r="B20" s="32" t="s">
        <v>26</v>
      </c>
      <c r="C20" s="687">
        <v>8.6999999999999993</v>
      </c>
      <c r="D20" s="688"/>
      <c r="E20" s="689">
        <v>5.6</v>
      </c>
      <c r="F20" s="688"/>
      <c r="G20" s="689">
        <v>2.2999999999999998</v>
      </c>
      <c r="H20" s="688"/>
      <c r="I20" s="689">
        <v>-1.9</v>
      </c>
      <c r="J20" s="688"/>
      <c r="K20" s="689">
        <v>3.1</v>
      </c>
      <c r="L20" s="688"/>
    </row>
    <row r="21" spans="1:14" s="194" customFormat="1" ht="33" customHeight="1" x14ac:dyDescent="0.25">
      <c r="A21" s="50" t="s">
        <v>18</v>
      </c>
      <c r="B21" s="690" t="s">
        <v>28</v>
      </c>
      <c r="C21" s="682">
        <v>0</v>
      </c>
      <c r="D21" s="683"/>
      <c r="E21" s="684">
        <v>0</v>
      </c>
      <c r="F21" s="683"/>
      <c r="G21" s="684">
        <v>0</v>
      </c>
      <c r="H21" s="683"/>
      <c r="I21" s="684">
        <v>0</v>
      </c>
      <c r="J21" s="683"/>
      <c r="K21" s="684">
        <v>0</v>
      </c>
      <c r="L21" s="683"/>
    </row>
    <row r="22" spans="1:14" ht="18.75" customHeight="1" x14ac:dyDescent="0.25">
      <c r="A22" s="51" t="s">
        <v>25</v>
      </c>
      <c r="B22" s="30" t="s">
        <v>29</v>
      </c>
      <c r="C22" s="677">
        <f>+C18</f>
        <v>579500916.09999979</v>
      </c>
      <c r="D22" s="691"/>
      <c r="E22" s="678">
        <f>+E18</f>
        <v>636327567</v>
      </c>
      <c r="F22" s="691"/>
      <c r="G22" s="678">
        <f>+G18</f>
        <v>676882039</v>
      </c>
      <c r="H22" s="691"/>
      <c r="I22" s="678">
        <f>+I18</f>
        <v>693936129.99999964</v>
      </c>
      <c r="J22" s="691"/>
      <c r="K22" s="678">
        <f>+K18</f>
        <v>819268682.75999999</v>
      </c>
      <c r="L22" s="691"/>
    </row>
    <row r="23" spans="1:14" ht="7.5" customHeight="1" x14ac:dyDescent="0.25">
      <c r="A23" s="29"/>
      <c r="B23" s="478"/>
    </row>
    <row r="24" spans="1:14" x14ac:dyDescent="0.25">
      <c r="A24" s="509" t="s">
        <v>13</v>
      </c>
      <c r="B24" s="510"/>
      <c r="C24" s="10"/>
      <c r="D24" s="10"/>
      <c r="E24" s="10"/>
      <c r="F24" s="10"/>
      <c r="G24" s="10"/>
      <c r="H24" s="10"/>
      <c r="I24" s="10"/>
      <c r="J24" s="10"/>
      <c r="K24" s="10"/>
      <c r="L24" s="8"/>
    </row>
    <row r="25" spans="1:14" s="55" customFormat="1" x14ac:dyDescent="0.25">
      <c r="A25" s="40">
        <v>4</v>
      </c>
      <c r="B25" s="44" t="s">
        <v>40</v>
      </c>
      <c r="C25" s="692">
        <f>+C27</f>
        <v>33988455.50999999</v>
      </c>
      <c r="D25" s="693"/>
      <c r="E25" s="692">
        <f>+E27</f>
        <v>31035154.440000162</v>
      </c>
      <c r="F25" s="693"/>
      <c r="G25" s="692">
        <f>+G27</f>
        <v>38765919.159999683</v>
      </c>
      <c r="H25" s="693"/>
      <c r="I25" s="692">
        <f>+I27</f>
        <v>37342484.836950742</v>
      </c>
      <c r="J25" s="693"/>
      <c r="K25" s="692">
        <f>+K27</f>
        <v>42958266.437999859</v>
      </c>
      <c r="L25" s="694"/>
    </row>
    <row r="26" spans="1:14" ht="19.5" customHeight="1" x14ac:dyDescent="0.25">
      <c r="A26" s="48" t="s">
        <v>19</v>
      </c>
      <c r="B26" s="30" t="s">
        <v>283</v>
      </c>
      <c r="C26" s="695" t="s">
        <v>262</v>
      </c>
      <c r="D26" s="6"/>
      <c r="E26" s="695" t="s">
        <v>262</v>
      </c>
      <c r="F26" s="6"/>
      <c r="G26" s="695" t="s">
        <v>262</v>
      </c>
      <c r="H26" s="6"/>
      <c r="I26" s="695" t="s">
        <v>262</v>
      </c>
      <c r="J26" s="6"/>
      <c r="K26" s="695" t="s">
        <v>262</v>
      </c>
      <c r="L26" s="6"/>
    </row>
    <row r="27" spans="1:14" s="55" customFormat="1" ht="39.75" customHeight="1" x14ac:dyDescent="0.25">
      <c r="A27" s="40">
        <v>5</v>
      </c>
      <c r="B27" s="45" t="s">
        <v>38</v>
      </c>
      <c r="C27" s="696">
        <f>+'[7]Revenue and Expense Notes'!$E$9-'[7]Revenue and Expense Notes'!$E$25</f>
        <v>33988455.50999999</v>
      </c>
      <c r="D27" s="697"/>
      <c r="E27" s="696">
        <f>+'[5]Revenue and Expense Notes 1'!$K$49-'[5]Revenue and Expense Notes 1'!$M$49</f>
        <v>31035154.440000162</v>
      </c>
      <c r="F27" s="697"/>
      <c r="G27" s="696">
        <f>+'[6]Revenue and Expense Notes 1'!$K$49-'[6]Revenue and Expense Notes 1'!$M$49</f>
        <v>38765919.159999683</v>
      </c>
      <c r="H27" s="697"/>
      <c r="I27" s="696">
        <f>+('[8]Revenue and Expense Notes 1'!$K$47-'[8]Revenue and Expense Notes 1'!$M$47)*1000</f>
        <v>37342484.836950742</v>
      </c>
      <c r="J27" s="697"/>
      <c r="K27" s="696">
        <f>+('[4]Revenue and Expense Notes 1'!$K$49-'[4]Revenue and Expense Notes 1'!$M$49-'[4]Revenue and Expense Notes 1'!$K$48)*1000</f>
        <v>42958266.437999859</v>
      </c>
      <c r="L27" s="698"/>
    </row>
    <row r="28" spans="1:14" s="55" customFormat="1" ht="48" customHeight="1" x14ac:dyDescent="0.25">
      <c r="A28" s="49" t="s">
        <v>20</v>
      </c>
      <c r="B28" s="34" t="s">
        <v>42</v>
      </c>
      <c r="C28" s="699">
        <f>+C27</f>
        <v>33988455.50999999</v>
      </c>
      <c r="D28" s="165"/>
      <c r="E28" s="699">
        <f>+E27</f>
        <v>31035154.440000162</v>
      </c>
      <c r="F28" s="165"/>
      <c r="G28" s="699">
        <f>+G27</f>
        <v>38765919.159999683</v>
      </c>
      <c r="H28" s="165"/>
      <c r="I28" s="699">
        <f>+I27</f>
        <v>37342484.836950742</v>
      </c>
      <c r="J28" s="165"/>
      <c r="K28" s="699">
        <f>+K27</f>
        <v>42958266.437999859</v>
      </c>
      <c r="L28" s="168"/>
      <c r="N28" s="700"/>
    </row>
    <row r="29" spans="1:14" ht="36" customHeight="1" x14ac:dyDescent="0.25">
      <c r="A29" s="49" t="s">
        <v>21</v>
      </c>
      <c r="B29" s="34" t="s">
        <v>34</v>
      </c>
      <c r="C29" s="701" t="s">
        <v>263</v>
      </c>
      <c r="D29" s="702"/>
      <c r="E29" s="701" t="s">
        <v>263</v>
      </c>
      <c r="F29" s="702"/>
      <c r="G29" s="701" t="s">
        <v>263</v>
      </c>
      <c r="H29" s="702"/>
      <c r="I29" s="701" t="s">
        <v>263</v>
      </c>
      <c r="J29" s="702"/>
      <c r="K29" s="701" t="s">
        <v>263</v>
      </c>
      <c r="L29" s="703"/>
      <c r="N29" s="704"/>
    </row>
    <row r="30" spans="1:14" ht="66" customHeight="1" x14ac:dyDescent="0.25">
      <c r="A30" s="48" t="s">
        <v>22</v>
      </c>
      <c r="B30" s="35" t="s">
        <v>15</v>
      </c>
      <c r="C30" s="523" t="s">
        <v>264</v>
      </c>
      <c r="D30" s="524"/>
      <c r="E30" s="524"/>
      <c r="F30" s="524"/>
      <c r="G30" s="524"/>
      <c r="H30" s="524"/>
      <c r="I30" s="524"/>
      <c r="J30" s="524"/>
      <c r="K30" s="524"/>
      <c r="L30" s="525"/>
      <c r="N30" s="700"/>
    </row>
    <row r="31" spans="1:14" ht="18" customHeight="1" x14ac:dyDescent="0.25">
      <c r="A31" s="40">
        <v>6</v>
      </c>
      <c r="B31" s="33" t="s">
        <v>14</v>
      </c>
      <c r="C31" s="705">
        <f>+C19</f>
        <v>44388444.440000005</v>
      </c>
      <c r="D31" s="211"/>
      <c r="E31" s="91">
        <f>+E19</f>
        <v>33319541.040000003</v>
      </c>
      <c r="F31" s="211"/>
      <c r="G31" s="91">
        <f>+G19</f>
        <v>14494076.639999999</v>
      </c>
      <c r="H31" s="211"/>
      <c r="I31" s="91">
        <f>+I19</f>
        <v>-13459046.970000001</v>
      </c>
      <c r="J31" s="211"/>
      <c r="K31" s="91">
        <f>+K19+('[4]Revenue and Expense Notes 1'!$K$48*1000)</f>
        <v>88254835.570000008</v>
      </c>
      <c r="L31" s="211"/>
      <c r="M31" s="289"/>
    </row>
    <row r="32" spans="1:14" ht="33.75" customHeight="1" x14ac:dyDescent="0.25">
      <c r="A32" s="48" t="s">
        <v>23</v>
      </c>
      <c r="B32" s="46" t="s">
        <v>39</v>
      </c>
      <c r="C32" s="523" t="s">
        <v>265</v>
      </c>
      <c r="D32" s="505"/>
      <c r="E32" s="505"/>
      <c r="F32" s="505"/>
      <c r="G32" s="505"/>
      <c r="H32" s="505"/>
      <c r="I32" s="505"/>
      <c r="J32" s="505"/>
      <c r="K32" s="505"/>
      <c r="L32" s="506"/>
    </row>
    <row r="33" spans="1:13" ht="7.5" customHeight="1" x14ac:dyDescent="0.25">
      <c r="A33" s="29"/>
      <c r="B33" s="478"/>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266</v>
      </c>
      <c r="D35" s="521"/>
      <c r="E35" s="520" t="s">
        <v>266</v>
      </c>
      <c r="F35" s="521"/>
      <c r="G35" s="520" t="s">
        <v>266</v>
      </c>
      <c r="H35" s="521"/>
      <c r="I35" s="520" t="s">
        <v>266</v>
      </c>
      <c r="J35" s="521"/>
      <c r="K35" s="520" t="s">
        <v>266</v>
      </c>
      <c r="L35" s="521"/>
    </row>
    <row r="36" spans="1:13" x14ac:dyDescent="0.25">
      <c r="A36" s="39">
        <v>8</v>
      </c>
      <c r="B36" s="36" t="s">
        <v>4</v>
      </c>
      <c r="C36" s="706">
        <v>25000</v>
      </c>
      <c r="D36" s="495"/>
      <c r="E36" s="494">
        <v>100000</v>
      </c>
      <c r="F36" s="495"/>
      <c r="G36" s="494">
        <v>25000</v>
      </c>
      <c r="H36" s="495"/>
      <c r="I36" s="494">
        <v>25000</v>
      </c>
      <c r="J36" s="495"/>
      <c r="K36" s="494">
        <v>80000</v>
      </c>
      <c r="L36" s="495"/>
    </row>
    <row r="37" spans="1:13" ht="15.75" thickBot="1" x14ac:dyDescent="0.3">
      <c r="A37" s="475">
        <v>9</v>
      </c>
      <c r="B37" s="37" t="s">
        <v>44</v>
      </c>
      <c r="C37" s="486" t="s">
        <v>62</v>
      </c>
      <c r="D37" s="487"/>
      <c r="E37" s="490" t="s">
        <v>61</v>
      </c>
      <c r="F37" s="487"/>
      <c r="G37" s="490" t="s">
        <v>62</v>
      </c>
      <c r="H37" s="487"/>
      <c r="I37" s="490" t="s">
        <v>62</v>
      </c>
      <c r="J37" s="487"/>
      <c r="K37" s="490" t="s">
        <v>61</v>
      </c>
      <c r="L37" s="487"/>
    </row>
    <row r="38" spans="1:13" ht="14.25" customHeight="1" thickBot="1" x14ac:dyDescent="0.3">
      <c r="A38" s="41"/>
      <c r="B38" s="707"/>
      <c r="C38" s="708" t="s">
        <v>267</v>
      </c>
      <c r="D38" s="709"/>
      <c r="E38" s="709"/>
      <c r="F38" s="709"/>
      <c r="G38" s="709"/>
      <c r="H38" s="709"/>
      <c r="I38" s="709"/>
      <c r="J38" s="710"/>
      <c r="K38" s="711" t="s">
        <v>268</v>
      </c>
      <c r="L38" s="710"/>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78"/>
      <c r="I41" s="289"/>
    </row>
    <row r="42" spans="1:13" x14ac:dyDescent="0.25">
      <c r="B42" s="712" t="s">
        <v>269</v>
      </c>
    </row>
    <row r="43" spans="1:13" ht="15.75" thickBot="1" x14ac:dyDescent="0.3"/>
    <row r="44" spans="1:13" x14ac:dyDescent="0.25">
      <c r="B44" s="477" t="s">
        <v>270</v>
      </c>
      <c r="C44" s="713">
        <v>2012</v>
      </c>
      <c r="D44" s="714"/>
      <c r="E44" s="713">
        <v>2013</v>
      </c>
      <c r="F44" s="714"/>
      <c r="G44" s="713">
        <v>2014</v>
      </c>
      <c r="H44" s="714"/>
      <c r="I44" s="713">
        <v>2015</v>
      </c>
      <c r="J44" s="714"/>
      <c r="K44" s="715">
        <v>2016</v>
      </c>
      <c r="L44" s="714"/>
    </row>
    <row r="45" spans="1:13" x14ac:dyDescent="0.25">
      <c r="B45" s="716" t="s">
        <v>271</v>
      </c>
      <c r="C45" s="717">
        <v>1.89E-2</v>
      </c>
      <c r="D45" s="718"/>
      <c r="E45" s="717">
        <v>1.9699999999999999E-2</v>
      </c>
      <c r="F45" s="718"/>
      <c r="G45" s="717">
        <v>2.0500000000000001E-2</v>
      </c>
      <c r="H45" s="718"/>
      <c r="I45" s="717">
        <v>2.1299999999999999E-2</v>
      </c>
      <c r="J45" s="718"/>
      <c r="K45" s="719">
        <v>2.3099999999999999E-2</v>
      </c>
      <c r="L45" s="718"/>
    </row>
    <row r="46" spans="1:13" x14ac:dyDescent="0.25">
      <c r="B46" s="716" t="s">
        <v>272</v>
      </c>
      <c r="C46" s="717">
        <v>1.89E-2</v>
      </c>
      <c r="D46" s="718"/>
      <c r="E46" s="717">
        <v>1.9699999999999999E-2</v>
      </c>
      <c r="F46" s="718"/>
      <c r="G46" s="717">
        <v>2.0500000000000001E-2</v>
      </c>
      <c r="H46" s="718"/>
      <c r="I46" s="717">
        <v>2.1299999999999999E-2</v>
      </c>
      <c r="J46" s="718"/>
      <c r="K46" s="719">
        <v>2.3099999999999999E-2</v>
      </c>
      <c r="L46" s="718"/>
    </row>
    <row r="47" spans="1:13" x14ac:dyDescent="0.25">
      <c r="B47" s="716" t="s">
        <v>273</v>
      </c>
      <c r="C47" s="717">
        <v>2.5999999999999999E-3</v>
      </c>
      <c r="D47" s="718"/>
      <c r="E47" s="717">
        <v>2.7000000000000001E-3</v>
      </c>
      <c r="F47" s="718"/>
      <c r="G47" s="717">
        <v>2.8E-3</v>
      </c>
      <c r="H47" s="718"/>
      <c r="I47" s="717">
        <v>2.8999999999999998E-3</v>
      </c>
      <c r="J47" s="718"/>
      <c r="K47" s="719">
        <v>3.0999999999999999E-3</v>
      </c>
      <c r="L47" s="718"/>
    </row>
    <row r="48" spans="1:13" x14ac:dyDescent="0.25">
      <c r="B48" s="716" t="s">
        <v>274</v>
      </c>
      <c r="C48" s="717">
        <v>7.6E-3</v>
      </c>
      <c r="D48" s="718"/>
      <c r="E48" s="717">
        <v>7.9000000000000008E-3</v>
      </c>
      <c r="F48" s="718"/>
      <c r="G48" s="717">
        <v>8.2000000000000007E-3</v>
      </c>
      <c r="H48" s="718"/>
      <c r="I48" s="717">
        <v>8.5000000000000006E-3</v>
      </c>
      <c r="J48" s="718"/>
      <c r="K48" s="719">
        <v>9.2999999999999992E-3</v>
      </c>
      <c r="L48" s="718"/>
    </row>
    <row r="49" spans="2:12" x14ac:dyDescent="0.25">
      <c r="B49" s="716" t="s">
        <v>275</v>
      </c>
      <c r="C49" s="717">
        <v>4.24E-2</v>
      </c>
      <c r="D49" s="718"/>
      <c r="E49" s="717">
        <v>4.41E-2</v>
      </c>
      <c r="F49" s="718"/>
      <c r="G49" s="717">
        <v>4.5900000000000003E-2</v>
      </c>
      <c r="H49" s="718"/>
      <c r="I49" s="717">
        <v>4.7699999999999999E-2</v>
      </c>
      <c r="J49" s="718"/>
      <c r="K49" s="719">
        <v>5.16E-2</v>
      </c>
      <c r="L49" s="718"/>
    </row>
    <row r="50" spans="2:12" x14ac:dyDescent="0.25">
      <c r="B50" s="720" t="s">
        <v>276</v>
      </c>
      <c r="C50" s="717">
        <v>6.3E-3</v>
      </c>
      <c r="D50" s="718"/>
      <c r="E50" s="717">
        <v>6.6E-3</v>
      </c>
      <c r="F50" s="718"/>
      <c r="G50" s="717">
        <v>6.8999999999999999E-3</v>
      </c>
      <c r="H50" s="718"/>
      <c r="I50" s="717">
        <v>7.1999999999999998E-3</v>
      </c>
      <c r="J50" s="718"/>
      <c r="K50" s="719">
        <v>7.7999999999999996E-3</v>
      </c>
      <c r="L50" s="718"/>
    </row>
    <row r="51" spans="2:12" x14ac:dyDescent="0.25">
      <c r="B51" s="476" t="s">
        <v>277</v>
      </c>
      <c r="C51" s="721">
        <v>2012</v>
      </c>
      <c r="D51" s="722"/>
      <c r="E51" s="721">
        <v>2013</v>
      </c>
      <c r="F51" s="722"/>
      <c r="G51" s="721">
        <v>2014</v>
      </c>
      <c r="H51" s="722"/>
      <c r="I51" s="721">
        <v>2015</v>
      </c>
      <c r="J51" s="722"/>
      <c r="K51" s="723">
        <v>2016</v>
      </c>
      <c r="L51" s="722"/>
    </row>
    <row r="52" spans="2:12" x14ac:dyDescent="0.25">
      <c r="B52" s="716" t="s">
        <v>271</v>
      </c>
      <c r="C52" s="717">
        <v>3.78E-2</v>
      </c>
      <c r="D52" s="718"/>
      <c r="E52" s="717">
        <v>3.9399999999999998E-2</v>
      </c>
      <c r="F52" s="718"/>
      <c r="G52" s="717">
        <v>4.1000000000000002E-2</v>
      </c>
      <c r="H52" s="718"/>
      <c r="I52" s="717">
        <v>4.2599999999999999E-2</v>
      </c>
      <c r="J52" s="718"/>
      <c r="K52" s="719">
        <v>4.6199999999999998E-2</v>
      </c>
      <c r="L52" s="718"/>
    </row>
    <row r="53" spans="2:12" x14ac:dyDescent="0.25">
      <c r="B53" s="716" t="s">
        <v>272</v>
      </c>
      <c r="C53" s="717">
        <v>3.78E-2</v>
      </c>
      <c r="D53" s="718"/>
      <c r="E53" s="717">
        <v>3.9399999999999998E-2</v>
      </c>
      <c r="F53" s="718"/>
      <c r="G53" s="717">
        <v>4.1000000000000002E-2</v>
      </c>
      <c r="H53" s="718"/>
      <c r="I53" s="717">
        <v>4.2599999999999999E-2</v>
      </c>
      <c r="J53" s="718"/>
      <c r="K53" s="719">
        <v>4.6199999999999998E-2</v>
      </c>
      <c r="L53" s="718"/>
    </row>
    <row r="54" spans="2:12" x14ac:dyDescent="0.25">
      <c r="B54" s="716" t="s">
        <v>273</v>
      </c>
      <c r="C54" s="717">
        <v>5.1999999999999998E-3</v>
      </c>
      <c r="D54" s="718"/>
      <c r="E54" s="717">
        <v>5.4000000000000003E-3</v>
      </c>
      <c r="F54" s="718"/>
      <c r="G54" s="717">
        <v>5.5999999999999999E-3</v>
      </c>
      <c r="H54" s="718"/>
      <c r="I54" s="717">
        <v>5.7999999999999996E-3</v>
      </c>
      <c r="J54" s="718"/>
      <c r="K54" s="719">
        <v>6.1999999999999998E-3</v>
      </c>
      <c r="L54" s="718"/>
    </row>
    <row r="55" spans="2:12" x14ac:dyDescent="0.25">
      <c r="B55" s="716" t="s">
        <v>274</v>
      </c>
      <c r="C55" s="717">
        <v>1.52E-2</v>
      </c>
      <c r="D55" s="718"/>
      <c r="E55" s="717">
        <v>1.5800000000000002E-2</v>
      </c>
      <c r="F55" s="718"/>
      <c r="G55" s="717">
        <v>1.6400000000000001E-2</v>
      </c>
      <c r="H55" s="718"/>
      <c r="I55" s="717">
        <v>1.7000000000000001E-2</v>
      </c>
      <c r="J55" s="718"/>
      <c r="K55" s="719">
        <v>1.8599999999999998E-2</v>
      </c>
      <c r="L55" s="718"/>
    </row>
    <row r="56" spans="2:12" x14ac:dyDescent="0.25">
      <c r="B56" s="716" t="s">
        <v>275</v>
      </c>
      <c r="C56" s="717">
        <v>8.48E-2</v>
      </c>
      <c r="D56" s="718"/>
      <c r="E56" s="717">
        <v>8.8200000000000001E-2</v>
      </c>
      <c r="F56" s="718"/>
      <c r="G56" s="717">
        <v>9.1800000000000007E-2</v>
      </c>
      <c r="H56" s="718"/>
      <c r="I56" s="717">
        <v>9.5399999999999999E-2</v>
      </c>
      <c r="J56" s="718"/>
      <c r="K56" s="719">
        <v>0.1032</v>
      </c>
      <c r="L56" s="718"/>
    </row>
    <row r="57" spans="2:12" ht="15.75" thickBot="1" x14ac:dyDescent="0.3">
      <c r="B57" s="724" t="s">
        <v>276</v>
      </c>
      <c r="C57" s="725">
        <v>1.26E-2</v>
      </c>
      <c r="D57" s="726"/>
      <c r="E57" s="725">
        <v>1.32E-2</v>
      </c>
      <c r="F57" s="726"/>
      <c r="G57" s="725">
        <v>1.38E-2</v>
      </c>
      <c r="H57" s="726"/>
      <c r="I57" s="725">
        <v>1.44E-2</v>
      </c>
      <c r="J57" s="726"/>
      <c r="K57" s="727">
        <v>1.5599999999999999E-2</v>
      </c>
      <c r="L57" s="726"/>
    </row>
    <row r="59" spans="2:12" x14ac:dyDescent="0.25">
      <c r="B59" s="90" t="s">
        <v>278</v>
      </c>
    </row>
    <row r="60" spans="2:12" x14ac:dyDescent="0.25">
      <c r="B60" s="90" t="s">
        <v>279</v>
      </c>
    </row>
    <row r="61" spans="2:12" x14ac:dyDescent="0.25">
      <c r="B61" s="90" t="s">
        <v>280</v>
      </c>
    </row>
    <row r="62" spans="2:12" x14ac:dyDescent="0.25">
      <c r="B62" s="90" t="s">
        <v>279</v>
      </c>
    </row>
    <row r="63" spans="2:12" x14ac:dyDescent="0.25">
      <c r="B63" s="90" t="s">
        <v>281</v>
      </c>
    </row>
  </sheetData>
  <mergeCells count="106">
    <mergeCell ref="C57:D57"/>
    <mergeCell ref="E57:F57"/>
    <mergeCell ref="G57:H57"/>
    <mergeCell ref="I57:J57"/>
    <mergeCell ref="K57:L57"/>
    <mergeCell ref="C55:D55"/>
    <mergeCell ref="E55:F55"/>
    <mergeCell ref="G55:H55"/>
    <mergeCell ref="I55:J55"/>
    <mergeCell ref="K55:L55"/>
    <mergeCell ref="C56:D56"/>
    <mergeCell ref="E56:F56"/>
    <mergeCell ref="G56:H56"/>
    <mergeCell ref="I56:J56"/>
    <mergeCell ref="K56:L56"/>
    <mergeCell ref="C53:D53"/>
    <mergeCell ref="E53:F53"/>
    <mergeCell ref="G53:H53"/>
    <mergeCell ref="I53:J53"/>
    <mergeCell ref="K53:L53"/>
    <mergeCell ref="C54:D54"/>
    <mergeCell ref="E54:F54"/>
    <mergeCell ref="G54:H54"/>
    <mergeCell ref="I54:J54"/>
    <mergeCell ref="K54:L54"/>
    <mergeCell ref="C51:D51"/>
    <mergeCell ref="E51:F51"/>
    <mergeCell ref="G51:H51"/>
    <mergeCell ref="I51:J51"/>
    <mergeCell ref="K51:L51"/>
    <mergeCell ref="C52:D52"/>
    <mergeCell ref="E52:F52"/>
    <mergeCell ref="G52:H52"/>
    <mergeCell ref="I52:J52"/>
    <mergeCell ref="K52:L52"/>
    <mergeCell ref="C49:D49"/>
    <mergeCell ref="E49:F49"/>
    <mergeCell ref="G49:H49"/>
    <mergeCell ref="I49:J49"/>
    <mergeCell ref="K49:L49"/>
    <mergeCell ref="C50:D50"/>
    <mergeCell ref="E50:F50"/>
    <mergeCell ref="G50:H50"/>
    <mergeCell ref="I50:J50"/>
    <mergeCell ref="K50:L50"/>
    <mergeCell ref="C47:D47"/>
    <mergeCell ref="E47:F47"/>
    <mergeCell ref="G47:H47"/>
    <mergeCell ref="I47:J47"/>
    <mergeCell ref="K47:L47"/>
    <mergeCell ref="C48:D48"/>
    <mergeCell ref="E48:F48"/>
    <mergeCell ref="G48:H48"/>
    <mergeCell ref="I48:J48"/>
    <mergeCell ref="K48:L48"/>
    <mergeCell ref="C45:D45"/>
    <mergeCell ref="E45:F45"/>
    <mergeCell ref="G45:H45"/>
    <mergeCell ref="I45:J45"/>
    <mergeCell ref="K45:L45"/>
    <mergeCell ref="C46:D46"/>
    <mergeCell ref="E46:F46"/>
    <mergeCell ref="G46:H46"/>
    <mergeCell ref="I46:J46"/>
    <mergeCell ref="K46:L46"/>
    <mergeCell ref="C38:J38"/>
    <mergeCell ref="K38:L38"/>
    <mergeCell ref="B39:L39"/>
    <mergeCell ref="B40:L40"/>
    <mergeCell ref="C44:D44"/>
    <mergeCell ref="E44:F44"/>
    <mergeCell ref="G44:H44"/>
    <mergeCell ref="I44:J44"/>
    <mergeCell ref="K44:L44"/>
    <mergeCell ref="C36:D36"/>
    <mergeCell ref="E36:F36"/>
    <mergeCell ref="G36:H36"/>
    <mergeCell ref="I36:J36"/>
    <mergeCell ref="K36:L36"/>
    <mergeCell ref="C37:D37"/>
    <mergeCell ref="E37:F37"/>
    <mergeCell ref="G37:H37"/>
    <mergeCell ref="I37:J37"/>
    <mergeCell ref="K37:L37"/>
    <mergeCell ref="A34:B34"/>
    <mergeCell ref="C35:D35"/>
    <mergeCell ref="E35:F35"/>
    <mergeCell ref="G35:H35"/>
    <mergeCell ref="I35:J35"/>
    <mergeCell ref="K35:L35"/>
    <mergeCell ref="K8:L8"/>
    <mergeCell ref="A11:B11"/>
    <mergeCell ref="A15:B15"/>
    <mergeCell ref="A24:B24"/>
    <mergeCell ref="C30:L30"/>
    <mergeCell ref="C32:L32"/>
    <mergeCell ref="B1:L1"/>
    <mergeCell ref="B2:L2"/>
    <mergeCell ref="B4:L4"/>
    <mergeCell ref="C6:L6"/>
    <mergeCell ref="A8:A9"/>
    <mergeCell ref="B8:B9"/>
    <mergeCell ref="C8:D8"/>
    <mergeCell ref="E8:F8"/>
    <mergeCell ref="G8:H8"/>
    <mergeCell ref="I8:J8"/>
  </mergeCells>
  <pageMargins left="0.7" right="0.7" top="0.75" bottom="0.75" header="0.3" footer="0.3"/>
  <pageSetup scale="46" fitToHeight="0"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85" zoomScaleNormal="85" workbookViewId="0">
      <selection activeCell="B22" sqref="B22"/>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 min="15" max="19" width="9.85546875" customWidth="1"/>
  </cols>
  <sheetData>
    <row r="1" spans="1:19" x14ac:dyDescent="0.25">
      <c r="B1" s="497" t="s">
        <v>9</v>
      </c>
      <c r="C1" s="497"/>
      <c r="D1" s="497"/>
      <c r="E1" s="497"/>
      <c r="F1" s="497"/>
      <c r="G1" s="497"/>
      <c r="H1" s="497"/>
      <c r="I1" s="497"/>
      <c r="J1" s="497"/>
      <c r="K1" s="497"/>
      <c r="L1" s="497"/>
    </row>
    <row r="2" spans="1:19" x14ac:dyDescent="0.25">
      <c r="B2" s="497" t="s">
        <v>10</v>
      </c>
      <c r="C2" s="497"/>
      <c r="D2" s="497"/>
      <c r="E2" s="497"/>
      <c r="F2" s="497"/>
      <c r="G2" s="497"/>
      <c r="H2" s="497"/>
      <c r="I2" s="497"/>
      <c r="J2" s="497"/>
      <c r="K2" s="497"/>
      <c r="L2" s="497"/>
    </row>
    <row r="3" spans="1:19" ht="8.25" customHeight="1" x14ac:dyDescent="0.25">
      <c r="B3" s="1"/>
      <c r="C3" s="1"/>
      <c r="D3" s="1"/>
      <c r="E3" s="1"/>
      <c r="F3" s="1"/>
      <c r="G3" s="1"/>
      <c r="H3" s="1"/>
      <c r="I3" s="1"/>
      <c r="J3" s="1"/>
      <c r="K3" s="1"/>
      <c r="L3" s="1"/>
    </row>
    <row r="4" spans="1:19" x14ac:dyDescent="0.25">
      <c r="B4" s="498" t="s">
        <v>36</v>
      </c>
      <c r="C4" s="498"/>
      <c r="D4" s="498"/>
      <c r="E4" s="498"/>
      <c r="F4" s="498"/>
      <c r="G4" s="498"/>
      <c r="H4" s="498"/>
      <c r="I4" s="498"/>
      <c r="J4" s="498"/>
      <c r="K4" s="498"/>
      <c r="L4" s="498"/>
    </row>
    <row r="5" spans="1:19" x14ac:dyDescent="0.25">
      <c r="B5" s="661" t="s">
        <v>223</v>
      </c>
      <c r="C5" s="661"/>
      <c r="D5" s="661"/>
      <c r="E5" s="661"/>
      <c r="F5" s="661"/>
      <c r="G5" s="661"/>
      <c r="H5" s="661"/>
      <c r="I5" s="661"/>
      <c r="J5" s="661"/>
      <c r="K5" s="661"/>
      <c r="L5" s="661"/>
    </row>
    <row r="6" spans="1:19" x14ac:dyDescent="0.25">
      <c r="B6" s="15" t="s">
        <v>11</v>
      </c>
      <c r="C6" s="662" t="s">
        <v>224</v>
      </c>
      <c r="D6" s="663"/>
      <c r="E6" s="663"/>
      <c r="F6" s="663"/>
      <c r="G6" s="663"/>
      <c r="H6" s="663"/>
      <c r="I6" s="663"/>
      <c r="J6" s="663"/>
      <c r="K6" s="663"/>
      <c r="L6" s="664"/>
    </row>
    <row r="7" spans="1:19" ht="15.75" thickBot="1" x14ac:dyDescent="0.3"/>
    <row r="8" spans="1:19" x14ac:dyDescent="0.25">
      <c r="A8" s="507" t="s">
        <v>24</v>
      </c>
      <c r="B8" s="513" t="s">
        <v>8</v>
      </c>
      <c r="C8" s="501">
        <v>2012</v>
      </c>
      <c r="D8" s="502"/>
      <c r="E8" s="503">
        <v>2013</v>
      </c>
      <c r="F8" s="502"/>
      <c r="G8" s="503">
        <v>2014</v>
      </c>
      <c r="H8" s="502"/>
      <c r="I8" s="503">
        <v>2015</v>
      </c>
      <c r="J8" s="502"/>
      <c r="K8" s="501">
        <v>2016</v>
      </c>
      <c r="L8" s="502"/>
    </row>
    <row r="9" spans="1:19" ht="95.25" customHeight="1" thickBot="1" x14ac:dyDescent="0.3">
      <c r="A9" s="508"/>
      <c r="B9" s="514"/>
      <c r="C9" s="14" t="s">
        <v>32</v>
      </c>
      <c r="D9" s="4" t="s">
        <v>27</v>
      </c>
      <c r="E9" s="14" t="s">
        <v>32</v>
      </c>
      <c r="F9" s="4" t="s">
        <v>27</v>
      </c>
      <c r="G9" s="14" t="s">
        <v>32</v>
      </c>
      <c r="H9" s="4" t="s">
        <v>27</v>
      </c>
      <c r="I9" s="14" t="s">
        <v>32</v>
      </c>
      <c r="J9" s="4" t="s">
        <v>27</v>
      </c>
      <c r="K9" s="14" t="s">
        <v>32</v>
      </c>
      <c r="L9" s="4" t="s">
        <v>27</v>
      </c>
      <c r="M9" s="2"/>
      <c r="O9" s="409" t="s">
        <v>225</v>
      </c>
    </row>
    <row r="10" spans="1:19" ht="7.5" customHeight="1" x14ac:dyDescent="0.25">
      <c r="C10" s="2"/>
      <c r="D10" s="2"/>
      <c r="E10" s="2"/>
      <c r="F10" s="2"/>
      <c r="G10" s="2"/>
      <c r="H10" s="2"/>
      <c r="I10" s="2"/>
      <c r="J10" s="2"/>
      <c r="K10" s="2"/>
      <c r="L10" s="2"/>
      <c r="M10" s="2"/>
    </row>
    <row r="11" spans="1:19" x14ac:dyDescent="0.25">
      <c r="A11" s="511" t="s">
        <v>7</v>
      </c>
      <c r="B11" s="512"/>
      <c r="C11" s="10"/>
      <c r="D11" s="8"/>
      <c r="E11" s="7"/>
      <c r="F11" s="8"/>
      <c r="G11" s="7"/>
      <c r="H11" s="8"/>
      <c r="I11" s="7"/>
      <c r="J11" s="8"/>
      <c r="K11" s="7"/>
      <c r="L11" s="9"/>
      <c r="O11" s="1">
        <v>2012</v>
      </c>
      <c r="P11" s="1">
        <v>2013</v>
      </c>
      <c r="Q11" s="1">
        <v>2014</v>
      </c>
      <c r="R11" s="1">
        <v>2015</v>
      </c>
      <c r="S11" s="1">
        <v>2016</v>
      </c>
    </row>
    <row r="12" spans="1:19" ht="35.25" customHeight="1" x14ac:dyDescent="0.25">
      <c r="A12" s="40">
        <v>1</v>
      </c>
      <c r="B12" s="31" t="s">
        <v>6</v>
      </c>
      <c r="C12" s="410">
        <v>2745926</v>
      </c>
      <c r="D12" s="411">
        <v>346842</v>
      </c>
      <c r="E12" s="412">
        <v>2848015</v>
      </c>
      <c r="F12" s="413">
        <v>375000</v>
      </c>
      <c r="G12" s="414">
        <v>3660267</v>
      </c>
      <c r="H12" s="413">
        <v>518406</v>
      </c>
      <c r="I12" s="414">
        <v>3194217</v>
      </c>
      <c r="J12" s="413">
        <v>465553</v>
      </c>
      <c r="K12" s="414">
        <v>3356093</v>
      </c>
      <c r="L12" s="413">
        <v>508096</v>
      </c>
      <c r="O12" s="415">
        <f>C12+D12</f>
        <v>3092768</v>
      </c>
      <c r="P12" s="415">
        <f>E12+F12</f>
        <v>3223015</v>
      </c>
      <c r="Q12" s="415">
        <f>G12+H12</f>
        <v>4178673</v>
      </c>
      <c r="R12" s="415">
        <f>I12+J12</f>
        <v>3659770</v>
      </c>
      <c r="S12" s="415">
        <f>K12+L12</f>
        <v>3864189</v>
      </c>
    </row>
    <row r="13" spans="1:19" ht="36.75" customHeight="1" x14ac:dyDescent="0.25">
      <c r="A13" s="48" t="s">
        <v>16</v>
      </c>
      <c r="B13" s="30" t="s">
        <v>31</v>
      </c>
      <c r="C13" s="66">
        <f>((C12+D12)/1768548)</f>
        <v>1.7487611305997914</v>
      </c>
      <c r="D13" s="416"/>
      <c r="E13" s="417">
        <f>(E12+F12)/1550401</f>
        <v>2.078826703543148</v>
      </c>
      <c r="F13" s="418"/>
      <c r="G13" s="67">
        <f>(G12+H12)/1689895</f>
        <v>2.4727412058145624</v>
      </c>
      <c r="H13" s="418"/>
      <c r="I13" s="67">
        <f>(I12+J12)/2447580</f>
        <v>1.4952606247803952</v>
      </c>
      <c r="J13" s="418"/>
      <c r="K13" s="67">
        <f>(K12+L12)/2380432</f>
        <v>1.623314171545333</v>
      </c>
      <c r="L13" s="418"/>
    </row>
    <row r="14" spans="1:19" ht="7.5" customHeight="1" x14ac:dyDescent="0.25">
      <c r="A14" s="29"/>
      <c r="B14" s="406"/>
    </row>
    <row r="15" spans="1:19" x14ac:dyDescent="0.25">
      <c r="A15" s="509" t="s">
        <v>1</v>
      </c>
      <c r="B15" s="510"/>
      <c r="C15" s="10"/>
      <c r="D15" s="8"/>
      <c r="E15" s="7"/>
      <c r="F15" s="8"/>
      <c r="G15" s="7"/>
      <c r="H15" s="8"/>
      <c r="I15" s="7"/>
      <c r="J15" s="8"/>
      <c r="K15" s="7"/>
      <c r="L15" s="9"/>
    </row>
    <row r="16" spans="1:19" ht="33" customHeight="1" x14ac:dyDescent="0.25">
      <c r="A16" s="40">
        <v>2</v>
      </c>
      <c r="B16" s="31" t="s">
        <v>5</v>
      </c>
      <c r="C16" s="419">
        <v>0</v>
      </c>
      <c r="D16" s="420">
        <v>0</v>
      </c>
      <c r="E16" s="421">
        <v>0</v>
      </c>
      <c r="F16" s="420">
        <v>0</v>
      </c>
      <c r="G16" s="421">
        <v>0</v>
      </c>
      <c r="H16" s="420">
        <v>0</v>
      </c>
      <c r="I16" s="421">
        <v>0</v>
      </c>
      <c r="J16" s="422">
        <v>0</v>
      </c>
      <c r="K16" s="423">
        <v>0</v>
      </c>
      <c r="L16" s="422">
        <v>0</v>
      </c>
    </row>
    <row r="17" spans="1:12" ht="36" customHeight="1" x14ac:dyDescent="0.25">
      <c r="A17" s="48" t="s">
        <v>17</v>
      </c>
      <c r="B17" s="30" t="s">
        <v>30</v>
      </c>
      <c r="C17" s="93" t="s">
        <v>226</v>
      </c>
      <c r="D17" s="93" t="s">
        <v>226</v>
      </c>
      <c r="E17" s="93" t="s">
        <v>226</v>
      </c>
      <c r="F17" s="93" t="s">
        <v>226</v>
      </c>
      <c r="G17" s="93" t="s">
        <v>226</v>
      </c>
      <c r="H17" s="93" t="s">
        <v>226</v>
      </c>
      <c r="I17" s="93" t="s">
        <v>226</v>
      </c>
      <c r="J17" s="93" t="s">
        <v>226</v>
      </c>
      <c r="K17" s="93" t="s">
        <v>226</v>
      </c>
      <c r="L17" s="93" t="s">
        <v>226</v>
      </c>
    </row>
    <row r="18" spans="1:12" ht="18" customHeight="1" x14ac:dyDescent="0.25">
      <c r="A18" s="40">
        <v>3</v>
      </c>
      <c r="B18" s="31" t="s">
        <v>12</v>
      </c>
      <c r="C18" s="424">
        <v>0</v>
      </c>
      <c r="D18" s="424">
        <v>0</v>
      </c>
      <c r="E18" s="424">
        <v>0</v>
      </c>
      <c r="F18" s="424">
        <v>0</v>
      </c>
      <c r="G18" s="424">
        <v>0</v>
      </c>
      <c r="H18" s="424">
        <v>0</v>
      </c>
      <c r="I18" s="424">
        <v>0</v>
      </c>
      <c r="J18" s="424">
        <v>0</v>
      </c>
      <c r="K18" s="424">
        <v>0</v>
      </c>
      <c r="L18" s="424">
        <v>0</v>
      </c>
    </row>
    <row r="19" spans="1:12" ht="36" customHeight="1" x14ac:dyDescent="0.25">
      <c r="A19" s="49" t="s">
        <v>37</v>
      </c>
      <c r="B19" s="32" t="s">
        <v>35</v>
      </c>
      <c r="C19" s="424" t="s">
        <v>226</v>
      </c>
      <c r="D19" s="425" t="s">
        <v>226</v>
      </c>
      <c r="E19" s="426" t="s">
        <v>226</v>
      </c>
      <c r="F19" s="426" t="s">
        <v>226</v>
      </c>
      <c r="G19" s="427" t="s">
        <v>226</v>
      </c>
      <c r="H19" s="428" t="s">
        <v>226</v>
      </c>
      <c r="I19" s="428" t="s">
        <v>226</v>
      </c>
      <c r="J19" s="428" t="s">
        <v>226</v>
      </c>
      <c r="K19" s="428" t="s">
        <v>226</v>
      </c>
      <c r="L19" s="428" t="s">
        <v>226</v>
      </c>
    </row>
    <row r="20" spans="1:12" ht="18" customHeight="1" x14ac:dyDescent="0.25">
      <c r="A20" s="50" t="s">
        <v>41</v>
      </c>
      <c r="B20" s="32" t="s">
        <v>26</v>
      </c>
      <c r="C20" s="19"/>
      <c r="D20" s="337"/>
      <c r="E20" s="429"/>
      <c r="F20" s="12"/>
      <c r="G20" s="20"/>
      <c r="H20" s="12"/>
      <c r="I20" s="20"/>
      <c r="J20" s="12"/>
      <c r="K20" s="20"/>
      <c r="L20" s="12"/>
    </row>
    <row r="21" spans="1:12" ht="33" customHeight="1" x14ac:dyDescent="0.25">
      <c r="A21" s="50" t="s">
        <v>18</v>
      </c>
      <c r="B21" s="32" t="s">
        <v>28</v>
      </c>
      <c r="C21" s="93" t="s">
        <v>67</v>
      </c>
      <c r="D21" s="93" t="s">
        <v>67</v>
      </c>
      <c r="E21" s="93" t="s">
        <v>67</v>
      </c>
      <c r="F21" s="93" t="s">
        <v>67</v>
      </c>
      <c r="G21" s="93" t="s">
        <v>67</v>
      </c>
      <c r="H21" s="93" t="s">
        <v>67</v>
      </c>
      <c r="I21" s="93" t="s">
        <v>67</v>
      </c>
      <c r="J21" s="93" t="s">
        <v>67</v>
      </c>
      <c r="K21" s="93" t="s">
        <v>67</v>
      </c>
      <c r="L21" s="93" t="s">
        <v>67</v>
      </c>
    </row>
    <row r="22" spans="1:12" ht="18.75" customHeight="1" x14ac:dyDescent="0.25">
      <c r="A22" s="51" t="s">
        <v>25</v>
      </c>
      <c r="B22" s="30" t="s">
        <v>29</v>
      </c>
      <c r="C22" s="93" t="s">
        <v>67</v>
      </c>
      <c r="D22" s="93" t="s">
        <v>67</v>
      </c>
      <c r="E22" s="93" t="s">
        <v>67</v>
      </c>
      <c r="F22" s="93" t="s">
        <v>67</v>
      </c>
      <c r="G22" s="93" t="s">
        <v>67</v>
      </c>
      <c r="H22" s="93" t="s">
        <v>67</v>
      </c>
      <c r="I22" s="93" t="s">
        <v>67</v>
      </c>
      <c r="J22" s="93" t="s">
        <v>67</v>
      </c>
      <c r="K22" s="93" t="s">
        <v>67</v>
      </c>
      <c r="L22" s="93" t="s">
        <v>67</v>
      </c>
    </row>
    <row r="23" spans="1:12" ht="7.5" customHeight="1" x14ac:dyDescent="0.25">
      <c r="A23" s="29"/>
      <c r="B23" s="406"/>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419">
        <v>0</v>
      </c>
      <c r="D25" s="419">
        <v>0</v>
      </c>
      <c r="E25" s="419">
        <v>0</v>
      </c>
      <c r="F25" s="419">
        <v>0</v>
      </c>
      <c r="G25" s="419">
        <v>0</v>
      </c>
      <c r="H25" s="419">
        <v>0</v>
      </c>
      <c r="I25" s="419">
        <v>0</v>
      </c>
      <c r="J25" s="419">
        <v>0</v>
      </c>
      <c r="K25" s="419">
        <v>0</v>
      </c>
      <c r="L25" s="419">
        <v>0</v>
      </c>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430">
        <v>0</v>
      </c>
      <c r="D27" s="430">
        <v>0</v>
      </c>
      <c r="E27" s="430">
        <v>0</v>
      </c>
      <c r="F27" s="430">
        <v>0</v>
      </c>
      <c r="G27" s="430">
        <v>0</v>
      </c>
      <c r="H27" s="430">
        <v>0</v>
      </c>
      <c r="I27" s="430">
        <v>0</v>
      </c>
      <c r="J27" s="430">
        <v>0</v>
      </c>
      <c r="K27" s="430">
        <v>0</v>
      </c>
      <c r="L27" s="430">
        <v>0</v>
      </c>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t="s">
        <v>67</v>
      </c>
      <c r="D29" s="22" t="s">
        <v>67</v>
      </c>
      <c r="E29" s="22" t="s">
        <v>67</v>
      </c>
      <c r="F29" s="22" t="s">
        <v>67</v>
      </c>
      <c r="G29" s="22" t="s">
        <v>67</v>
      </c>
      <c r="H29" s="22" t="s">
        <v>67</v>
      </c>
      <c r="I29" s="22" t="s">
        <v>67</v>
      </c>
      <c r="J29" s="22" t="s">
        <v>67</v>
      </c>
      <c r="K29" s="22" t="s">
        <v>67</v>
      </c>
      <c r="L29" s="22" t="s">
        <v>67</v>
      </c>
    </row>
    <row r="30" spans="1:12" ht="66" customHeight="1" x14ac:dyDescent="0.25">
      <c r="A30" s="48" t="s">
        <v>22</v>
      </c>
      <c r="B30" s="35" t="s">
        <v>15</v>
      </c>
      <c r="C30" s="523" t="s">
        <v>227</v>
      </c>
      <c r="D30" s="524"/>
      <c r="E30" s="524"/>
      <c r="F30" s="524"/>
      <c r="G30" s="524"/>
      <c r="H30" s="524"/>
      <c r="I30" s="524"/>
      <c r="J30" s="524"/>
      <c r="K30" s="524"/>
      <c r="L30" s="525"/>
    </row>
    <row r="31" spans="1:12" ht="18" customHeight="1" x14ac:dyDescent="0.25">
      <c r="A31" s="40">
        <v>6</v>
      </c>
      <c r="B31" s="33" t="s">
        <v>14</v>
      </c>
      <c r="C31" s="28"/>
      <c r="D31" s="23"/>
      <c r="E31" s="16"/>
      <c r="F31" s="23"/>
      <c r="G31" s="16"/>
      <c r="H31" s="23"/>
      <c r="I31" s="16"/>
      <c r="J31" s="23"/>
      <c r="K31" s="16"/>
      <c r="L31" s="23"/>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6"/>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228</v>
      </c>
      <c r="D35" s="521"/>
      <c r="E35" s="520" t="s">
        <v>229</v>
      </c>
      <c r="F35" s="521"/>
      <c r="G35" s="520" t="s">
        <v>229</v>
      </c>
      <c r="H35" s="521"/>
      <c r="I35" s="520" t="s">
        <v>229</v>
      </c>
      <c r="J35" s="521"/>
      <c r="K35" s="520" t="s">
        <v>230</v>
      </c>
      <c r="L35" s="521"/>
    </row>
    <row r="36" spans="1:13" x14ac:dyDescent="0.25">
      <c r="A36" s="39">
        <v>8</v>
      </c>
      <c r="B36" s="36" t="s">
        <v>4</v>
      </c>
      <c r="C36" s="658">
        <v>12000</v>
      </c>
      <c r="D36" s="659"/>
      <c r="E36" s="660">
        <v>10000</v>
      </c>
      <c r="F36" s="659"/>
      <c r="G36" s="660">
        <v>14454</v>
      </c>
      <c r="H36" s="659"/>
      <c r="I36" s="660">
        <v>19560</v>
      </c>
      <c r="J36" s="659"/>
      <c r="K36" s="660">
        <v>9254</v>
      </c>
      <c r="L36" s="659"/>
    </row>
    <row r="37" spans="1:13" ht="15.75" thickBot="1" x14ac:dyDescent="0.3">
      <c r="A37" s="405">
        <v>9</v>
      </c>
      <c r="B37" s="37" t="s">
        <v>44</v>
      </c>
      <c r="C37" s="486" t="s">
        <v>62</v>
      </c>
      <c r="D37" s="487"/>
      <c r="E37" s="490" t="s">
        <v>61</v>
      </c>
      <c r="F37" s="487"/>
      <c r="G37" s="490" t="s">
        <v>62</v>
      </c>
      <c r="H37" s="487"/>
      <c r="I37" s="490" t="s">
        <v>61</v>
      </c>
      <c r="J37" s="487"/>
      <c r="K37" s="490" t="s">
        <v>62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6"/>
    </row>
    <row r="42" spans="1:13" x14ac:dyDescent="0.25">
      <c r="B42" s="406"/>
    </row>
    <row r="43" spans="1:13" x14ac:dyDescent="0.25">
      <c r="B43" s="406"/>
    </row>
    <row r="44" spans="1:13" x14ac:dyDescent="0.25">
      <c r="B44" s="406"/>
    </row>
    <row r="45" spans="1:13" x14ac:dyDescent="0.25">
      <c r="B45" s="406"/>
    </row>
    <row r="49" spans="4:4" x14ac:dyDescent="0.25">
      <c r="D49" s="431"/>
    </row>
  </sheetData>
  <mergeCells count="36">
    <mergeCell ref="C30:L30"/>
    <mergeCell ref="B1:L1"/>
    <mergeCell ref="B2:L2"/>
    <mergeCell ref="B4:L4"/>
    <mergeCell ref="B5:L5"/>
    <mergeCell ref="C6:L6"/>
    <mergeCell ref="B8:B9"/>
    <mergeCell ref="C8:D8"/>
    <mergeCell ref="E8:F8"/>
    <mergeCell ref="G8:H8"/>
    <mergeCell ref="I8:J8"/>
    <mergeCell ref="K8:L8"/>
    <mergeCell ref="A11:B11"/>
    <mergeCell ref="A15:B15"/>
    <mergeCell ref="A24:B24"/>
    <mergeCell ref="A8:A9"/>
    <mergeCell ref="C32:L32"/>
    <mergeCell ref="A34:B34"/>
    <mergeCell ref="C35:D35"/>
    <mergeCell ref="E35:F35"/>
    <mergeCell ref="G35:H35"/>
    <mergeCell ref="I35:J35"/>
    <mergeCell ref="K35:L35"/>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46" orientation="landscape" r:id="rId1"/>
  <headerFooter>
    <oddFooter>&amp;L&amp;Z&amp;F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5" zoomScaleNormal="85" workbookViewId="0">
      <selection activeCell="C16" sqref="C16"/>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662" t="s">
        <v>231</v>
      </c>
      <c r="D6" s="663"/>
      <c r="E6" s="663"/>
      <c r="F6" s="663"/>
      <c r="G6" s="663"/>
      <c r="H6" s="663"/>
      <c r="I6" s="663"/>
      <c r="J6" s="663"/>
      <c r="K6" s="663"/>
      <c r="L6" s="664"/>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433">
        <v>1372974</v>
      </c>
      <c r="D12" s="47"/>
      <c r="E12" s="433">
        <v>1486108</v>
      </c>
      <c r="F12" s="47"/>
      <c r="G12" s="433">
        <v>1036607</v>
      </c>
      <c r="H12" s="47"/>
      <c r="I12" s="433">
        <v>1192338</v>
      </c>
      <c r="J12" s="433"/>
      <c r="K12" s="433">
        <v>1300301</v>
      </c>
      <c r="L12" s="47"/>
    </row>
    <row r="13" spans="1:13" ht="36.75" customHeight="1" x14ac:dyDescent="0.25">
      <c r="A13" s="48" t="s">
        <v>16</v>
      </c>
      <c r="B13" s="30" t="s">
        <v>31</v>
      </c>
      <c r="C13" s="432">
        <f>C12/347395</f>
        <v>3.9521985060234028</v>
      </c>
      <c r="D13" s="43"/>
      <c r="E13" s="432">
        <f>E12/(26596)</f>
        <v>55.877124379605952</v>
      </c>
      <c r="F13" s="43"/>
      <c r="G13" s="432">
        <f>G12/954507</f>
        <v>1.0860129889042196</v>
      </c>
      <c r="H13" s="43"/>
      <c r="I13" s="432">
        <f>I12/933026</f>
        <v>1.2779258027107498</v>
      </c>
      <c r="J13" s="43"/>
      <c r="K13" s="432">
        <f>K12/759039</f>
        <v>1.7130885237780931</v>
      </c>
      <c r="L13" s="43"/>
    </row>
    <row r="14" spans="1:13" ht="7.5" customHeight="1" x14ac:dyDescent="0.25">
      <c r="A14" s="29"/>
      <c r="B14" s="406"/>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c r="D16" s="11"/>
      <c r="E16" s="65"/>
      <c r="F16" s="11"/>
      <c r="G16" s="65"/>
      <c r="H16" s="11"/>
      <c r="I16" s="65"/>
      <c r="J16" s="11"/>
      <c r="K16" s="65"/>
      <c r="L16" s="11"/>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19"/>
      <c r="D18" s="12"/>
      <c r="E18" s="20"/>
      <c r="F18" s="12"/>
      <c r="G18" s="20"/>
      <c r="H18" s="12"/>
      <c r="I18" s="20"/>
      <c r="J18" s="12"/>
      <c r="K18" s="20"/>
      <c r="L18" s="12"/>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406"/>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c r="D25" s="23"/>
      <c r="E25" s="16"/>
      <c r="F25" s="23"/>
      <c r="G25" s="16"/>
      <c r="H25" s="23"/>
      <c r="I25" s="16"/>
      <c r="J25" s="23"/>
      <c r="K25" s="16"/>
      <c r="L25" s="11"/>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c r="D27" s="25"/>
      <c r="E27" s="21"/>
      <c r="F27" s="25"/>
      <c r="G27" s="21"/>
      <c r="H27" s="25"/>
      <c r="I27" s="21"/>
      <c r="J27" s="25"/>
      <c r="K27" s="21"/>
      <c r="L27" s="5"/>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c r="D31" s="23"/>
      <c r="E31" s="16"/>
      <c r="F31" s="23"/>
      <c r="G31" s="16"/>
      <c r="H31" s="23"/>
      <c r="I31" s="16"/>
      <c r="J31" s="23"/>
      <c r="K31" s="16"/>
      <c r="L31" s="23"/>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6"/>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c r="D35" s="521"/>
      <c r="E35" s="520"/>
      <c r="F35" s="521"/>
      <c r="G35" s="520"/>
      <c r="H35" s="521"/>
      <c r="I35" s="520"/>
      <c r="J35" s="521"/>
      <c r="K35" s="520"/>
      <c r="L35" s="521"/>
    </row>
    <row r="36" spans="1:13" x14ac:dyDescent="0.25">
      <c r="A36" s="39">
        <v>8</v>
      </c>
      <c r="B36" s="36" t="s">
        <v>4</v>
      </c>
      <c r="C36" s="536"/>
      <c r="D36" s="489"/>
      <c r="E36" s="488"/>
      <c r="F36" s="489"/>
      <c r="G36" s="488"/>
      <c r="H36" s="489"/>
      <c r="I36" s="488"/>
      <c r="J36" s="489"/>
      <c r="K36" s="488"/>
      <c r="L36" s="489"/>
    </row>
    <row r="37" spans="1:13" ht="15.75" thickBot="1" x14ac:dyDescent="0.3">
      <c r="A37" s="405">
        <v>9</v>
      </c>
      <c r="B37" s="37" t="s">
        <v>44</v>
      </c>
      <c r="C37" s="486"/>
      <c r="D37" s="487"/>
      <c r="E37" s="490"/>
      <c r="F37" s="487"/>
      <c r="G37" s="490"/>
      <c r="H37" s="487"/>
      <c r="I37" s="490"/>
      <c r="J37" s="487"/>
      <c r="K37" s="490"/>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6"/>
    </row>
    <row r="42" spans="1:13" x14ac:dyDescent="0.25">
      <c r="B42" s="406"/>
    </row>
    <row r="43" spans="1:13" x14ac:dyDescent="0.25">
      <c r="B43" s="406"/>
    </row>
    <row r="44" spans="1:13" x14ac:dyDescent="0.25">
      <c r="B44" s="406"/>
    </row>
    <row r="45" spans="1:13" x14ac:dyDescent="0.25">
      <c r="B45" s="406"/>
    </row>
  </sheetData>
  <mergeCells count="35">
    <mergeCell ref="B39:L39"/>
    <mergeCell ref="B40:L40"/>
    <mergeCell ref="C37:D37"/>
    <mergeCell ref="C36:D36"/>
    <mergeCell ref="G37:H37"/>
    <mergeCell ref="G36:H36"/>
    <mergeCell ref="B38:L38"/>
    <mergeCell ref="E37:F37"/>
    <mergeCell ref="E36:F36"/>
    <mergeCell ref="K37:L37"/>
    <mergeCell ref="K36:L36"/>
    <mergeCell ref="I37:J37"/>
    <mergeCell ref="I36:J36"/>
    <mergeCell ref="B1:L1"/>
    <mergeCell ref="B2:L2"/>
    <mergeCell ref="B4:L4"/>
    <mergeCell ref="C6:L6"/>
    <mergeCell ref="C8:D8"/>
    <mergeCell ref="E8:F8"/>
    <mergeCell ref="G8:H8"/>
    <mergeCell ref="I8:J8"/>
    <mergeCell ref="K8:L8"/>
    <mergeCell ref="I35:J35"/>
    <mergeCell ref="C35:D35"/>
    <mergeCell ref="G35:H35"/>
    <mergeCell ref="E35:F35"/>
    <mergeCell ref="K35:L35"/>
    <mergeCell ref="C30:L30"/>
    <mergeCell ref="C32:L32"/>
    <mergeCell ref="A8:A9"/>
    <mergeCell ref="A34:B34"/>
    <mergeCell ref="A24:B24"/>
    <mergeCell ref="A15:B15"/>
    <mergeCell ref="A11:B11"/>
    <mergeCell ref="B8:B9"/>
  </mergeCells>
  <pageMargins left="0.7" right="0.7" top="0.75" bottom="0.75" header="0.3" footer="0.3"/>
  <pageSetup scale="54" orientation="landscape"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zoomScale="70" zoomScaleNormal="70" workbookViewId="0">
      <selection activeCell="E31" sqref="E31"/>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1" width="13.7109375" customWidth="1"/>
    <col min="12" max="12" width="18.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437" t="s">
        <v>233</v>
      </c>
      <c r="D12" s="437" t="s">
        <v>233</v>
      </c>
      <c r="E12" s="665" t="s">
        <v>235</v>
      </c>
      <c r="F12" s="666"/>
      <c r="G12" s="665" t="s">
        <v>234</v>
      </c>
      <c r="H12" s="666"/>
      <c r="I12" s="439">
        <v>4521000</v>
      </c>
      <c r="J12" s="438">
        <v>20713000</v>
      </c>
      <c r="K12" s="439">
        <v>5126000</v>
      </c>
      <c r="L12" s="438">
        <v>23411000</v>
      </c>
    </row>
    <row r="13" spans="1:13" ht="36.75" customHeight="1" x14ac:dyDescent="0.25">
      <c r="A13" s="48" t="s">
        <v>16</v>
      </c>
      <c r="B13" s="30" t="s">
        <v>31</v>
      </c>
      <c r="C13" s="437" t="s">
        <v>233</v>
      </c>
      <c r="D13" s="436"/>
      <c r="E13" s="434" t="s">
        <v>233</v>
      </c>
      <c r="F13" s="435"/>
      <c r="G13" s="434" t="s">
        <v>233</v>
      </c>
      <c r="H13" s="435"/>
      <c r="I13" s="434" t="s">
        <v>233</v>
      </c>
      <c r="J13" s="435"/>
      <c r="K13" s="434" t="s">
        <v>233</v>
      </c>
      <c r="L13" s="43"/>
    </row>
    <row r="14" spans="1:13" ht="7.5" customHeight="1" x14ac:dyDescent="0.25">
      <c r="A14" s="29"/>
      <c r="B14" s="406"/>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t="s">
        <v>233</v>
      </c>
      <c r="D16" s="11" t="s">
        <v>233</v>
      </c>
      <c r="E16" s="65" t="s">
        <v>233</v>
      </c>
      <c r="F16" s="11" t="s">
        <v>233</v>
      </c>
      <c r="G16" s="65" t="s">
        <v>233</v>
      </c>
      <c r="H16" s="11" t="s">
        <v>233</v>
      </c>
      <c r="I16" s="65" t="s">
        <v>233</v>
      </c>
      <c r="J16" s="11" t="s">
        <v>233</v>
      </c>
      <c r="K16" s="65" t="s">
        <v>233</v>
      </c>
      <c r="L16" s="11" t="s">
        <v>233</v>
      </c>
    </row>
    <row r="17" spans="1:12" ht="36" customHeight="1" x14ac:dyDescent="0.25">
      <c r="A17" s="48" t="s">
        <v>17</v>
      </c>
      <c r="B17" s="30" t="s">
        <v>30</v>
      </c>
      <c r="C17" s="17" t="s">
        <v>233</v>
      </c>
      <c r="D17" s="6" t="s">
        <v>233</v>
      </c>
      <c r="E17" s="18" t="s">
        <v>233</v>
      </c>
      <c r="F17" s="6" t="s">
        <v>233</v>
      </c>
      <c r="G17" s="18" t="s">
        <v>233</v>
      </c>
      <c r="H17" s="6" t="s">
        <v>233</v>
      </c>
      <c r="I17" s="18" t="s">
        <v>233</v>
      </c>
      <c r="J17" s="6" t="s">
        <v>233</v>
      </c>
      <c r="K17" s="18" t="s">
        <v>233</v>
      </c>
      <c r="L17" s="6" t="s">
        <v>233</v>
      </c>
    </row>
    <row r="18" spans="1:12" ht="18" customHeight="1" x14ac:dyDescent="0.25">
      <c r="A18" s="40">
        <v>3</v>
      </c>
      <c r="B18" s="31" t="s">
        <v>12</v>
      </c>
      <c r="C18" s="19" t="s">
        <v>233</v>
      </c>
      <c r="D18" s="12" t="s">
        <v>233</v>
      </c>
      <c r="E18" s="20" t="s">
        <v>233</v>
      </c>
      <c r="F18" s="12" t="s">
        <v>233</v>
      </c>
      <c r="G18" s="20" t="s">
        <v>233</v>
      </c>
      <c r="H18" s="12" t="s">
        <v>233</v>
      </c>
      <c r="I18" s="20" t="s">
        <v>233</v>
      </c>
      <c r="J18" s="12" t="s">
        <v>233</v>
      </c>
      <c r="K18" s="20" t="s">
        <v>233</v>
      </c>
      <c r="L18" s="12" t="s">
        <v>233</v>
      </c>
    </row>
    <row r="19" spans="1:12" ht="36" customHeight="1" x14ac:dyDescent="0.25">
      <c r="A19" s="49" t="s">
        <v>37</v>
      </c>
      <c r="B19" s="32" t="s">
        <v>35</v>
      </c>
      <c r="C19" s="19" t="s">
        <v>233</v>
      </c>
      <c r="D19" s="12" t="s">
        <v>233</v>
      </c>
      <c r="E19" s="20" t="s">
        <v>233</v>
      </c>
      <c r="F19" s="12" t="s">
        <v>233</v>
      </c>
      <c r="G19" s="20" t="s">
        <v>233</v>
      </c>
      <c r="H19" s="12" t="s">
        <v>233</v>
      </c>
      <c r="I19" s="20" t="s">
        <v>233</v>
      </c>
      <c r="J19" s="12" t="s">
        <v>233</v>
      </c>
      <c r="K19" s="20" t="s">
        <v>233</v>
      </c>
      <c r="L19" s="12" t="s">
        <v>233</v>
      </c>
    </row>
    <row r="20" spans="1:12" ht="18" customHeight="1" x14ac:dyDescent="0.25">
      <c r="A20" s="50" t="s">
        <v>41</v>
      </c>
      <c r="B20" s="32" t="s">
        <v>26</v>
      </c>
      <c r="C20" s="19" t="s">
        <v>233</v>
      </c>
      <c r="D20" s="12" t="s">
        <v>233</v>
      </c>
      <c r="E20" s="20" t="s">
        <v>233</v>
      </c>
      <c r="F20" s="12" t="s">
        <v>233</v>
      </c>
      <c r="G20" s="20" t="s">
        <v>233</v>
      </c>
      <c r="H20" s="12" t="s">
        <v>233</v>
      </c>
      <c r="I20" s="20" t="s">
        <v>233</v>
      </c>
      <c r="J20" s="12" t="s">
        <v>233</v>
      </c>
      <c r="K20" s="20" t="s">
        <v>233</v>
      </c>
      <c r="L20" s="12" t="s">
        <v>233</v>
      </c>
    </row>
    <row r="21" spans="1:12" ht="33" customHeight="1" x14ac:dyDescent="0.25">
      <c r="A21" s="50" t="s">
        <v>18</v>
      </c>
      <c r="B21" s="32" t="s">
        <v>28</v>
      </c>
      <c r="C21" s="19" t="s">
        <v>233</v>
      </c>
      <c r="D21" s="12" t="s">
        <v>233</v>
      </c>
      <c r="E21" s="20" t="s">
        <v>233</v>
      </c>
      <c r="F21" s="12" t="s">
        <v>233</v>
      </c>
      <c r="G21" s="20" t="s">
        <v>233</v>
      </c>
      <c r="H21" s="12" t="s">
        <v>233</v>
      </c>
      <c r="I21" s="20" t="s">
        <v>233</v>
      </c>
      <c r="J21" s="12" t="s">
        <v>233</v>
      </c>
      <c r="K21" s="20" t="s">
        <v>233</v>
      </c>
      <c r="L21" s="12" t="s">
        <v>233</v>
      </c>
    </row>
    <row r="22" spans="1:12" ht="18.75" customHeight="1" x14ac:dyDescent="0.25">
      <c r="A22" s="51" t="s">
        <v>25</v>
      </c>
      <c r="B22" s="30" t="s">
        <v>29</v>
      </c>
      <c r="C22" s="17" t="s">
        <v>233</v>
      </c>
      <c r="D22" s="6" t="s">
        <v>233</v>
      </c>
      <c r="E22" s="18" t="s">
        <v>233</v>
      </c>
      <c r="F22" s="6"/>
      <c r="G22" s="18" t="s">
        <v>233</v>
      </c>
      <c r="H22" s="6" t="s">
        <v>233</v>
      </c>
      <c r="I22" s="18" t="s">
        <v>233</v>
      </c>
      <c r="J22" s="6" t="s">
        <v>233</v>
      </c>
      <c r="K22" s="18" t="s">
        <v>233</v>
      </c>
      <c r="L22" s="6" t="s">
        <v>233</v>
      </c>
    </row>
    <row r="23" spans="1:12" ht="7.5" customHeight="1" x14ac:dyDescent="0.25">
      <c r="A23" s="29"/>
      <c r="B23" s="406"/>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t="s">
        <v>233</v>
      </c>
      <c r="D25" s="23" t="s">
        <v>233</v>
      </c>
      <c r="E25" s="16" t="s">
        <v>233</v>
      </c>
      <c r="F25" s="23" t="s">
        <v>233</v>
      </c>
      <c r="G25" s="16" t="s">
        <v>233</v>
      </c>
      <c r="H25" s="23" t="s">
        <v>233</v>
      </c>
      <c r="I25" s="16" t="s">
        <v>233</v>
      </c>
      <c r="J25" s="23" t="s">
        <v>233</v>
      </c>
      <c r="K25" s="16" t="s">
        <v>233</v>
      </c>
      <c r="L25" s="11" t="s">
        <v>233</v>
      </c>
    </row>
    <row r="26" spans="1:12" ht="19.5" customHeight="1" x14ac:dyDescent="0.25">
      <c r="A26" s="48" t="s">
        <v>19</v>
      </c>
      <c r="B26" s="30" t="s">
        <v>0</v>
      </c>
      <c r="C26" s="17" t="s">
        <v>233</v>
      </c>
      <c r="D26" s="24" t="s">
        <v>233</v>
      </c>
      <c r="E26" s="17" t="s">
        <v>233</v>
      </c>
      <c r="F26" s="24" t="s">
        <v>233</v>
      </c>
      <c r="G26" s="17" t="s">
        <v>233</v>
      </c>
      <c r="H26" s="24" t="s">
        <v>233</v>
      </c>
      <c r="I26" s="17" t="s">
        <v>233</v>
      </c>
      <c r="J26" s="24" t="s">
        <v>233</v>
      </c>
      <c r="K26" s="17" t="s">
        <v>233</v>
      </c>
      <c r="L26" s="6" t="s">
        <v>233</v>
      </c>
    </row>
    <row r="27" spans="1:12" ht="39.75" customHeight="1" x14ac:dyDescent="0.25">
      <c r="A27" s="40">
        <v>5</v>
      </c>
      <c r="B27" s="45" t="s">
        <v>38</v>
      </c>
      <c r="C27" s="21" t="s">
        <v>233</v>
      </c>
      <c r="D27" s="25" t="s">
        <v>233</v>
      </c>
      <c r="E27" s="21" t="s">
        <v>233</v>
      </c>
      <c r="F27" s="25" t="s">
        <v>233</v>
      </c>
      <c r="G27" s="21" t="s">
        <v>233</v>
      </c>
      <c r="H27" s="25" t="s">
        <v>233</v>
      </c>
      <c r="I27" s="21" t="s">
        <v>233</v>
      </c>
      <c r="J27" s="25" t="s">
        <v>233</v>
      </c>
      <c r="K27" s="21" t="s">
        <v>233</v>
      </c>
      <c r="L27" s="5" t="s">
        <v>233</v>
      </c>
    </row>
    <row r="28" spans="1:12" ht="48" customHeight="1" x14ac:dyDescent="0.25">
      <c r="A28" s="49" t="s">
        <v>20</v>
      </c>
      <c r="B28" s="34" t="s">
        <v>42</v>
      </c>
      <c r="C28" s="22" t="s">
        <v>233</v>
      </c>
      <c r="D28" s="26" t="s">
        <v>233</v>
      </c>
      <c r="E28" s="22" t="s">
        <v>233</v>
      </c>
      <c r="F28" s="26" t="s">
        <v>233</v>
      </c>
      <c r="G28" s="22" t="s">
        <v>233</v>
      </c>
      <c r="H28" s="26" t="s">
        <v>233</v>
      </c>
      <c r="I28" s="22" t="s">
        <v>233</v>
      </c>
      <c r="J28" s="26" t="s">
        <v>233</v>
      </c>
      <c r="K28" s="22" t="s">
        <v>233</v>
      </c>
      <c r="L28" s="27" t="s">
        <v>233</v>
      </c>
    </row>
    <row r="29" spans="1:12" ht="36" customHeight="1" x14ac:dyDescent="0.25">
      <c r="A29" s="49" t="s">
        <v>21</v>
      </c>
      <c r="B29" s="34" t="s">
        <v>34</v>
      </c>
      <c r="C29" s="22" t="s">
        <v>233</v>
      </c>
      <c r="D29" s="26" t="s">
        <v>233</v>
      </c>
      <c r="E29" s="22" t="s">
        <v>233</v>
      </c>
      <c r="F29" s="26" t="s">
        <v>233</v>
      </c>
      <c r="G29" s="22" t="s">
        <v>233</v>
      </c>
      <c r="H29" s="26" t="s">
        <v>233</v>
      </c>
      <c r="I29" s="22" t="s">
        <v>233</v>
      </c>
      <c r="J29" s="26" t="s">
        <v>233</v>
      </c>
      <c r="K29" s="22" t="s">
        <v>233</v>
      </c>
      <c r="L29" s="27" t="s">
        <v>233</v>
      </c>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t="s">
        <v>233</v>
      </c>
      <c r="D31" s="23" t="s">
        <v>233</v>
      </c>
      <c r="E31" s="16" t="s">
        <v>233</v>
      </c>
      <c r="F31" s="23" t="s">
        <v>233</v>
      </c>
      <c r="G31" s="16" t="s">
        <v>233</v>
      </c>
      <c r="H31" s="23" t="s">
        <v>233</v>
      </c>
      <c r="I31" s="16" t="s">
        <v>233</v>
      </c>
      <c r="J31" s="23" t="s">
        <v>233</v>
      </c>
      <c r="K31" s="16" t="s">
        <v>233</v>
      </c>
      <c r="L31" s="23" t="s">
        <v>233</v>
      </c>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6"/>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c r="D35" s="521"/>
      <c r="E35" s="520"/>
      <c r="F35" s="521"/>
      <c r="G35" s="520"/>
      <c r="H35" s="521"/>
      <c r="I35" s="520" t="s">
        <v>232</v>
      </c>
      <c r="J35" s="521"/>
      <c r="K35" s="520" t="s">
        <v>232</v>
      </c>
      <c r="L35" s="521"/>
    </row>
    <row r="36" spans="1:13" x14ac:dyDescent="0.25">
      <c r="A36" s="39">
        <v>8</v>
      </c>
      <c r="B36" s="36" t="s">
        <v>4</v>
      </c>
      <c r="C36" s="488" t="s">
        <v>67</v>
      </c>
      <c r="D36" s="489"/>
      <c r="E36" s="488" t="s">
        <v>67</v>
      </c>
      <c r="F36" s="489"/>
      <c r="G36" s="488" t="s">
        <v>67</v>
      </c>
      <c r="H36" s="489"/>
      <c r="I36" s="488" t="s">
        <v>67</v>
      </c>
      <c r="J36" s="489"/>
      <c r="K36" s="488" t="s">
        <v>67</v>
      </c>
      <c r="L36" s="489"/>
    </row>
    <row r="37" spans="1:13" ht="15.75" thickBot="1" x14ac:dyDescent="0.3">
      <c r="A37" s="405">
        <v>9</v>
      </c>
      <c r="B37" s="37" t="s">
        <v>44</v>
      </c>
      <c r="C37" s="486"/>
      <c r="D37" s="487"/>
      <c r="E37" s="490"/>
      <c r="F37" s="487"/>
      <c r="G37" s="490"/>
      <c r="H37" s="487"/>
      <c r="I37" s="490" t="s">
        <v>62</v>
      </c>
      <c r="J37" s="487"/>
      <c r="K37" s="490" t="s">
        <v>62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6"/>
    </row>
    <row r="42" spans="1:13" x14ac:dyDescent="0.25">
      <c r="B42" s="406"/>
    </row>
    <row r="43" spans="1:13" x14ac:dyDescent="0.25">
      <c r="B43" s="406"/>
    </row>
    <row r="44" spans="1:13" x14ac:dyDescent="0.25">
      <c r="B44" s="406"/>
    </row>
    <row r="45" spans="1:13" x14ac:dyDescent="0.25">
      <c r="B45" s="406"/>
    </row>
  </sheetData>
  <mergeCells count="37">
    <mergeCell ref="C32:L32"/>
    <mergeCell ref="B1:L1"/>
    <mergeCell ref="B2:L2"/>
    <mergeCell ref="B4:L4"/>
    <mergeCell ref="C6:L6"/>
    <mergeCell ref="B8:B9"/>
    <mergeCell ref="C8:D8"/>
    <mergeCell ref="E8:F8"/>
    <mergeCell ref="G8:H8"/>
    <mergeCell ref="I8:J8"/>
    <mergeCell ref="K8:L8"/>
    <mergeCell ref="A11:B11"/>
    <mergeCell ref="A15:B15"/>
    <mergeCell ref="A24:B24"/>
    <mergeCell ref="C30:L30"/>
    <mergeCell ref="A8:A9"/>
    <mergeCell ref="B38:L38"/>
    <mergeCell ref="E37:F37"/>
    <mergeCell ref="G37:H37"/>
    <mergeCell ref="I37:J37"/>
    <mergeCell ref="K37:L37"/>
    <mergeCell ref="A34:B34"/>
    <mergeCell ref="B39:L39"/>
    <mergeCell ref="B40:L40"/>
    <mergeCell ref="G12:H12"/>
    <mergeCell ref="E12:F12"/>
    <mergeCell ref="C36:D36"/>
    <mergeCell ref="E36:F36"/>
    <mergeCell ref="G36:H36"/>
    <mergeCell ref="I36:J36"/>
    <mergeCell ref="K36:L36"/>
    <mergeCell ref="C37:D37"/>
    <mergeCell ref="C35:D35"/>
    <mergeCell ref="E35:F35"/>
    <mergeCell ref="G35:H35"/>
    <mergeCell ref="I35:J35"/>
    <mergeCell ref="K35:L35"/>
  </mergeCells>
  <pageMargins left="0.7" right="0.7" top="0.75" bottom="0.75" header="0.3" footer="0.3"/>
  <pageSetup scale="54"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zoomScale="70" zoomScaleNormal="70" workbookViewId="0">
      <selection activeCell="P29" sqref="P29"/>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16" t="s">
        <v>233</v>
      </c>
      <c r="D12" s="47" t="s">
        <v>233</v>
      </c>
      <c r="E12" s="667" t="s">
        <v>237</v>
      </c>
      <c r="F12" s="668"/>
      <c r="G12" s="667" t="s">
        <v>236</v>
      </c>
      <c r="H12" s="668"/>
      <c r="I12" s="443">
        <v>6282000</v>
      </c>
      <c r="J12" s="442">
        <v>86047000</v>
      </c>
      <c r="K12" s="443">
        <v>7081000</v>
      </c>
      <c r="L12" s="442">
        <v>95294000</v>
      </c>
    </row>
    <row r="13" spans="1:13" ht="36.75" customHeight="1" x14ac:dyDescent="0.25">
      <c r="A13" s="48" t="s">
        <v>16</v>
      </c>
      <c r="B13" s="30" t="s">
        <v>31</v>
      </c>
      <c r="C13" s="17" t="s">
        <v>233</v>
      </c>
      <c r="D13" s="43"/>
      <c r="E13" s="440" t="s">
        <v>233</v>
      </c>
      <c r="F13" s="441"/>
      <c r="G13" s="440" t="s">
        <v>233</v>
      </c>
      <c r="H13" s="441"/>
      <c r="I13" s="440" t="s">
        <v>233</v>
      </c>
      <c r="J13" s="441"/>
      <c r="K13" s="440" t="s">
        <v>233</v>
      </c>
      <c r="L13" s="43"/>
    </row>
    <row r="14" spans="1:13" ht="7.5" customHeight="1" x14ac:dyDescent="0.25">
      <c r="A14" s="29"/>
      <c r="B14" s="406"/>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t="s">
        <v>233</v>
      </c>
      <c r="D16" s="11" t="s">
        <v>233</v>
      </c>
      <c r="E16" s="65" t="s">
        <v>233</v>
      </c>
      <c r="F16" s="11" t="s">
        <v>233</v>
      </c>
      <c r="G16" s="65" t="s">
        <v>233</v>
      </c>
      <c r="H16" s="11" t="s">
        <v>233</v>
      </c>
      <c r="I16" s="65" t="s">
        <v>233</v>
      </c>
      <c r="J16" s="11" t="s">
        <v>233</v>
      </c>
      <c r="K16" s="65" t="s">
        <v>233</v>
      </c>
      <c r="L16" s="11" t="s">
        <v>233</v>
      </c>
    </row>
    <row r="17" spans="1:12" ht="36" customHeight="1" x14ac:dyDescent="0.25">
      <c r="A17" s="48" t="s">
        <v>17</v>
      </c>
      <c r="B17" s="30" t="s">
        <v>30</v>
      </c>
      <c r="C17" s="17" t="s">
        <v>233</v>
      </c>
      <c r="D17" s="6" t="s">
        <v>233</v>
      </c>
      <c r="E17" s="18" t="s">
        <v>233</v>
      </c>
      <c r="F17" s="6" t="s">
        <v>233</v>
      </c>
      <c r="G17" s="18" t="s">
        <v>233</v>
      </c>
      <c r="H17" s="6" t="s">
        <v>233</v>
      </c>
      <c r="I17" s="18" t="s">
        <v>233</v>
      </c>
      <c r="J17" s="6" t="s">
        <v>233</v>
      </c>
      <c r="K17" s="18" t="s">
        <v>233</v>
      </c>
      <c r="L17" s="6" t="s">
        <v>233</v>
      </c>
    </row>
    <row r="18" spans="1:12" ht="18" customHeight="1" x14ac:dyDescent="0.25">
      <c r="A18" s="40">
        <v>3</v>
      </c>
      <c r="B18" s="31" t="s">
        <v>12</v>
      </c>
      <c r="C18" s="19" t="s">
        <v>233</v>
      </c>
      <c r="D18" s="12" t="s">
        <v>233</v>
      </c>
      <c r="E18" s="20" t="s">
        <v>233</v>
      </c>
      <c r="F18" s="12" t="s">
        <v>233</v>
      </c>
      <c r="G18" s="20" t="s">
        <v>233</v>
      </c>
      <c r="H18" s="12" t="s">
        <v>233</v>
      </c>
      <c r="I18" s="20" t="s">
        <v>233</v>
      </c>
      <c r="J18" s="12" t="s">
        <v>233</v>
      </c>
      <c r="K18" s="20" t="s">
        <v>233</v>
      </c>
      <c r="L18" s="12" t="s">
        <v>233</v>
      </c>
    </row>
    <row r="19" spans="1:12" ht="36" customHeight="1" x14ac:dyDescent="0.25">
      <c r="A19" s="49" t="s">
        <v>37</v>
      </c>
      <c r="B19" s="32" t="s">
        <v>35</v>
      </c>
      <c r="C19" s="19" t="s">
        <v>233</v>
      </c>
      <c r="D19" s="12" t="s">
        <v>233</v>
      </c>
      <c r="E19" s="20" t="s">
        <v>233</v>
      </c>
      <c r="F19" s="12" t="s">
        <v>233</v>
      </c>
      <c r="G19" s="20" t="s">
        <v>233</v>
      </c>
      <c r="H19" s="12" t="s">
        <v>233</v>
      </c>
      <c r="I19" s="20" t="s">
        <v>233</v>
      </c>
      <c r="J19" s="12" t="s">
        <v>233</v>
      </c>
      <c r="K19" s="20" t="s">
        <v>233</v>
      </c>
      <c r="L19" s="12" t="s">
        <v>233</v>
      </c>
    </row>
    <row r="20" spans="1:12" ht="18" customHeight="1" x14ac:dyDescent="0.25">
      <c r="A20" s="50" t="s">
        <v>41</v>
      </c>
      <c r="B20" s="32" t="s">
        <v>26</v>
      </c>
      <c r="C20" s="19" t="s">
        <v>233</v>
      </c>
      <c r="D20" s="12" t="s">
        <v>233</v>
      </c>
      <c r="E20" s="20" t="s">
        <v>233</v>
      </c>
      <c r="F20" s="12" t="s">
        <v>233</v>
      </c>
      <c r="G20" s="20" t="s">
        <v>233</v>
      </c>
      <c r="H20" s="12" t="s">
        <v>233</v>
      </c>
      <c r="I20" s="20" t="s">
        <v>233</v>
      </c>
      <c r="J20" s="12" t="s">
        <v>233</v>
      </c>
      <c r="K20" s="20" t="s">
        <v>233</v>
      </c>
      <c r="L20" s="12" t="s">
        <v>233</v>
      </c>
    </row>
    <row r="21" spans="1:12" ht="33" customHeight="1" x14ac:dyDescent="0.25">
      <c r="A21" s="50" t="s">
        <v>18</v>
      </c>
      <c r="B21" s="32" t="s">
        <v>28</v>
      </c>
      <c r="C21" s="19" t="s">
        <v>233</v>
      </c>
      <c r="D21" s="12" t="s">
        <v>233</v>
      </c>
      <c r="E21" s="20" t="s">
        <v>233</v>
      </c>
      <c r="F21" s="12" t="s">
        <v>233</v>
      </c>
      <c r="G21" s="20" t="s">
        <v>233</v>
      </c>
      <c r="H21" s="12" t="s">
        <v>233</v>
      </c>
      <c r="I21" s="20" t="s">
        <v>233</v>
      </c>
      <c r="J21" s="12" t="s">
        <v>233</v>
      </c>
      <c r="K21" s="20" t="s">
        <v>233</v>
      </c>
      <c r="L21" s="12" t="s">
        <v>233</v>
      </c>
    </row>
    <row r="22" spans="1:12" ht="18.75" customHeight="1" x14ac:dyDescent="0.25">
      <c r="A22" s="51" t="s">
        <v>25</v>
      </c>
      <c r="B22" s="30" t="s">
        <v>29</v>
      </c>
      <c r="C22" s="17" t="s">
        <v>233</v>
      </c>
      <c r="D22" s="6" t="s">
        <v>233</v>
      </c>
      <c r="E22" s="18" t="s">
        <v>233</v>
      </c>
      <c r="F22" s="6"/>
      <c r="G22" s="18" t="s">
        <v>233</v>
      </c>
      <c r="H22" s="6" t="s">
        <v>233</v>
      </c>
      <c r="I22" s="18" t="s">
        <v>233</v>
      </c>
      <c r="J22" s="6" t="s">
        <v>233</v>
      </c>
      <c r="K22" s="18" t="s">
        <v>233</v>
      </c>
      <c r="L22" s="6" t="s">
        <v>233</v>
      </c>
    </row>
    <row r="23" spans="1:12" ht="7.5" customHeight="1" x14ac:dyDescent="0.25">
      <c r="A23" s="29"/>
      <c r="B23" s="406"/>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t="s">
        <v>233</v>
      </c>
      <c r="D25" s="23" t="s">
        <v>233</v>
      </c>
      <c r="E25" s="16" t="s">
        <v>233</v>
      </c>
      <c r="F25" s="23" t="s">
        <v>233</v>
      </c>
      <c r="G25" s="16" t="s">
        <v>233</v>
      </c>
      <c r="H25" s="23" t="s">
        <v>233</v>
      </c>
      <c r="I25" s="16" t="s">
        <v>233</v>
      </c>
      <c r="J25" s="23" t="s">
        <v>233</v>
      </c>
      <c r="K25" s="16" t="s">
        <v>233</v>
      </c>
      <c r="L25" s="11" t="s">
        <v>233</v>
      </c>
    </row>
    <row r="26" spans="1:12" ht="19.5" customHeight="1" x14ac:dyDescent="0.25">
      <c r="A26" s="48" t="s">
        <v>19</v>
      </c>
      <c r="B26" s="30" t="s">
        <v>0</v>
      </c>
      <c r="C26" s="17" t="s">
        <v>233</v>
      </c>
      <c r="D26" s="24" t="s">
        <v>233</v>
      </c>
      <c r="E26" s="17" t="s">
        <v>233</v>
      </c>
      <c r="F26" s="24" t="s">
        <v>233</v>
      </c>
      <c r="G26" s="17" t="s">
        <v>233</v>
      </c>
      <c r="H26" s="24" t="s">
        <v>233</v>
      </c>
      <c r="I26" s="17" t="s">
        <v>233</v>
      </c>
      <c r="J26" s="24" t="s">
        <v>233</v>
      </c>
      <c r="K26" s="17" t="s">
        <v>233</v>
      </c>
      <c r="L26" s="6" t="s">
        <v>233</v>
      </c>
    </row>
    <row r="27" spans="1:12" ht="39.75" customHeight="1" x14ac:dyDescent="0.25">
      <c r="A27" s="40">
        <v>5</v>
      </c>
      <c r="B27" s="45" t="s">
        <v>38</v>
      </c>
      <c r="C27" s="21" t="s">
        <v>233</v>
      </c>
      <c r="D27" s="25" t="s">
        <v>233</v>
      </c>
      <c r="E27" s="21" t="s">
        <v>233</v>
      </c>
      <c r="F27" s="25" t="s">
        <v>233</v>
      </c>
      <c r="G27" s="21" t="s">
        <v>233</v>
      </c>
      <c r="H27" s="25" t="s">
        <v>233</v>
      </c>
      <c r="I27" s="21" t="s">
        <v>233</v>
      </c>
      <c r="J27" s="25" t="s">
        <v>233</v>
      </c>
      <c r="K27" s="21" t="s">
        <v>233</v>
      </c>
      <c r="L27" s="5" t="s">
        <v>233</v>
      </c>
    </row>
    <row r="28" spans="1:12" ht="48" customHeight="1" x14ac:dyDescent="0.25">
      <c r="A28" s="49" t="s">
        <v>20</v>
      </c>
      <c r="B28" s="34" t="s">
        <v>42</v>
      </c>
      <c r="C28" s="22" t="s">
        <v>233</v>
      </c>
      <c r="D28" s="26" t="s">
        <v>233</v>
      </c>
      <c r="E28" s="22" t="s">
        <v>233</v>
      </c>
      <c r="F28" s="26" t="s">
        <v>233</v>
      </c>
      <c r="G28" s="22" t="s">
        <v>233</v>
      </c>
      <c r="H28" s="26" t="s">
        <v>233</v>
      </c>
      <c r="I28" s="22" t="s">
        <v>233</v>
      </c>
      <c r="J28" s="26" t="s">
        <v>233</v>
      </c>
      <c r="K28" s="22" t="s">
        <v>233</v>
      </c>
      <c r="L28" s="27" t="s">
        <v>233</v>
      </c>
    </row>
    <row r="29" spans="1:12" ht="36" customHeight="1" x14ac:dyDescent="0.25">
      <c r="A29" s="49" t="s">
        <v>21</v>
      </c>
      <c r="B29" s="34" t="s">
        <v>34</v>
      </c>
      <c r="C29" s="22" t="s">
        <v>233</v>
      </c>
      <c r="D29" s="26" t="s">
        <v>233</v>
      </c>
      <c r="E29" s="22" t="s">
        <v>233</v>
      </c>
      <c r="F29" s="26" t="s">
        <v>233</v>
      </c>
      <c r="G29" s="22" t="s">
        <v>233</v>
      </c>
      <c r="H29" s="26" t="s">
        <v>233</v>
      </c>
      <c r="I29" s="22" t="s">
        <v>233</v>
      </c>
      <c r="J29" s="26" t="s">
        <v>233</v>
      </c>
      <c r="K29" s="22" t="s">
        <v>233</v>
      </c>
      <c r="L29" s="27" t="s">
        <v>233</v>
      </c>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t="s">
        <v>233</v>
      </c>
      <c r="D31" s="23" t="s">
        <v>233</v>
      </c>
      <c r="E31" s="16" t="s">
        <v>233</v>
      </c>
      <c r="F31" s="23" t="s">
        <v>233</v>
      </c>
      <c r="G31" s="16" t="s">
        <v>233</v>
      </c>
      <c r="H31" s="23" t="s">
        <v>233</v>
      </c>
      <c r="I31" s="16" t="s">
        <v>233</v>
      </c>
      <c r="J31" s="23" t="s">
        <v>233</v>
      </c>
      <c r="K31" s="16" t="s">
        <v>233</v>
      </c>
      <c r="L31" s="23" t="s">
        <v>233</v>
      </c>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6"/>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c r="D35" s="521"/>
      <c r="E35" s="520"/>
      <c r="F35" s="521"/>
      <c r="G35" s="520"/>
      <c r="H35" s="521"/>
      <c r="I35" s="520" t="s">
        <v>232</v>
      </c>
      <c r="J35" s="521"/>
      <c r="K35" s="520" t="s">
        <v>232</v>
      </c>
      <c r="L35" s="521"/>
    </row>
    <row r="36" spans="1:13" x14ac:dyDescent="0.25">
      <c r="A36" s="39">
        <v>8</v>
      </c>
      <c r="B36" s="36" t="s">
        <v>4</v>
      </c>
      <c r="C36" s="488" t="s">
        <v>67</v>
      </c>
      <c r="D36" s="489"/>
      <c r="E36" s="488" t="s">
        <v>67</v>
      </c>
      <c r="F36" s="489"/>
      <c r="G36" s="488" t="s">
        <v>67</v>
      </c>
      <c r="H36" s="489"/>
      <c r="I36" s="488" t="s">
        <v>67</v>
      </c>
      <c r="J36" s="489"/>
      <c r="K36" s="488" t="s">
        <v>67</v>
      </c>
      <c r="L36" s="489"/>
    </row>
    <row r="37" spans="1:13" ht="15.75" thickBot="1" x14ac:dyDescent="0.3">
      <c r="A37" s="405">
        <v>9</v>
      </c>
      <c r="B37" s="37" t="s">
        <v>44</v>
      </c>
      <c r="C37" s="486"/>
      <c r="D37" s="487"/>
      <c r="E37" s="490"/>
      <c r="F37" s="487"/>
      <c r="G37" s="490"/>
      <c r="H37" s="487"/>
      <c r="I37" s="490" t="s">
        <v>62</v>
      </c>
      <c r="J37" s="487"/>
      <c r="K37" s="490" t="s">
        <v>62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6"/>
    </row>
    <row r="42" spans="1:13" x14ac:dyDescent="0.25">
      <c r="B42" s="406"/>
    </row>
    <row r="43" spans="1:13" x14ac:dyDescent="0.25">
      <c r="B43" s="406"/>
    </row>
    <row r="44" spans="1:13" x14ac:dyDescent="0.25">
      <c r="B44" s="406"/>
    </row>
    <row r="45" spans="1:13" x14ac:dyDescent="0.25">
      <c r="B45" s="406"/>
    </row>
  </sheetData>
  <mergeCells count="37">
    <mergeCell ref="A8:A9"/>
    <mergeCell ref="A34:B34"/>
    <mergeCell ref="A24:B24"/>
    <mergeCell ref="A15:B15"/>
    <mergeCell ref="A11:B11"/>
    <mergeCell ref="B8:B9"/>
    <mergeCell ref="B1:L1"/>
    <mergeCell ref="B2:L2"/>
    <mergeCell ref="B4:L4"/>
    <mergeCell ref="C6:L6"/>
    <mergeCell ref="C8:D8"/>
    <mergeCell ref="E8:F8"/>
    <mergeCell ref="G8:H8"/>
    <mergeCell ref="I8:J8"/>
    <mergeCell ref="K8:L8"/>
    <mergeCell ref="B40:L40"/>
    <mergeCell ref="C37:D37"/>
    <mergeCell ref="C36:D36"/>
    <mergeCell ref="G37:H37"/>
    <mergeCell ref="G36:H36"/>
    <mergeCell ref="B39:L39"/>
    <mergeCell ref="B38:L38"/>
    <mergeCell ref="E37:F37"/>
    <mergeCell ref="E36:F36"/>
    <mergeCell ref="K37:L37"/>
    <mergeCell ref="K36:L36"/>
    <mergeCell ref="I37:J37"/>
    <mergeCell ref="I36:J36"/>
    <mergeCell ref="G12:H12"/>
    <mergeCell ref="E12:F12"/>
    <mergeCell ref="C30:L30"/>
    <mergeCell ref="C32:L32"/>
    <mergeCell ref="G35:H35"/>
    <mergeCell ref="K35:L35"/>
    <mergeCell ref="E35:F35"/>
    <mergeCell ref="I35:J35"/>
    <mergeCell ref="C35:D35"/>
  </mergeCells>
  <pageMargins left="0.7" right="0.7" top="0.75" bottom="0.75" header="0.3" footer="0.3"/>
  <pageSetup scale="54" orientation="landscape"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5"/>
  <sheetViews>
    <sheetView zoomScale="90" zoomScaleNormal="90" workbookViewId="0">
      <selection activeCell="B12" sqref="B12"/>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6" width="16.42578125" customWidth="1"/>
    <col min="7" max="7" width="13.7109375" customWidth="1"/>
    <col min="8" max="8" width="15.42578125" customWidth="1"/>
    <col min="9" max="9" width="13.5703125" customWidth="1"/>
    <col min="10" max="10" width="17" customWidth="1"/>
    <col min="11" max="12" width="13.7109375" customWidth="1"/>
  </cols>
  <sheetData>
    <row r="1" spans="1:19" x14ac:dyDescent="0.25">
      <c r="B1" s="497" t="s">
        <v>9</v>
      </c>
      <c r="C1" s="497"/>
      <c r="D1" s="497"/>
      <c r="E1" s="497"/>
      <c r="F1" s="497"/>
      <c r="G1" s="497"/>
      <c r="H1" s="497"/>
      <c r="I1" s="497"/>
      <c r="J1" s="497"/>
      <c r="K1" s="497"/>
      <c r="L1" s="497"/>
    </row>
    <row r="2" spans="1:19" x14ac:dyDescent="0.25">
      <c r="B2" s="497" t="s">
        <v>10</v>
      </c>
      <c r="C2" s="497"/>
      <c r="D2" s="497"/>
      <c r="E2" s="497"/>
      <c r="F2" s="497"/>
      <c r="G2" s="497"/>
      <c r="H2" s="497"/>
      <c r="I2" s="497"/>
      <c r="J2" s="497"/>
      <c r="K2" s="497"/>
      <c r="L2" s="497"/>
    </row>
    <row r="3" spans="1:19" ht="8.25" customHeight="1" x14ac:dyDescent="0.25">
      <c r="B3" s="1"/>
      <c r="C3" s="1"/>
      <c r="D3" s="1"/>
      <c r="E3" s="1"/>
      <c r="F3" s="1"/>
      <c r="G3" s="1"/>
      <c r="H3" s="1"/>
      <c r="I3" s="1"/>
      <c r="J3" s="1"/>
      <c r="K3" s="1"/>
      <c r="L3" s="1"/>
    </row>
    <row r="4" spans="1:19" x14ac:dyDescent="0.25">
      <c r="B4" s="498" t="s">
        <v>36</v>
      </c>
      <c r="C4" s="498"/>
      <c r="D4" s="498"/>
      <c r="E4" s="498"/>
      <c r="F4" s="498"/>
      <c r="G4" s="498"/>
      <c r="H4" s="498"/>
      <c r="I4" s="498"/>
      <c r="J4" s="498"/>
      <c r="K4" s="498"/>
      <c r="L4" s="498"/>
    </row>
    <row r="5" spans="1:19" x14ac:dyDescent="0.25">
      <c r="B5" s="13"/>
      <c r="C5" s="13"/>
      <c r="D5" s="13"/>
      <c r="E5" s="13"/>
      <c r="F5" s="13"/>
      <c r="G5" s="13"/>
      <c r="H5" s="13"/>
      <c r="I5" s="13"/>
      <c r="J5" s="13"/>
      <c r="K5" s="13"/>
      <c r="L5" s="13"/>
    </row>
    <row r="6" spans="1:19" x14ac:dyDescent="0.25">
      <c r="B6" s="15" t="s">
        <v>11</v>
      </c>
      <c r="C6" s="499" t="s">
        <v>244</v>
      </c>
      <c r="D6" s="499"/>
      <c r="E6" s="499"/>
      <c r="F6" s="499"/>
      <c r="G6" s="499"/>
      <c r="H6" s="499"/>
      <c r="I6" s="499"/>
      <c r="J6" s="499"/>
      <c r="K6" s="499"/>
      <c r="L6" s="500"/>
    </row>
    <row r="7" spans="1:19" ht="15.75" thickBot="1" x14ac:dyDescent="0.3"/>
    <row r="8" spans="1:19" x14ac:dyDescent="0.25">
      <c r="A8" s="507" t="s">
        <v>24</v>
      </c>
      <c r="B8" s="513" t="s">
        <v>8</v>
      </c>
      <c r="C8" s="501">
        <v>2012</v>
      </c>
      <c r="D8" s="502"/>
      <c r="E8" s="503">
        <v>2013</v>
      </c>
      <c r="F8" s="502"/>
      <c r="G8" s="503">
        <v>2014</v>
      </c>
      <c r="H8" s="502"/>
      <c r="I8" s="503">
        <v>2015</v>
      </c>
      <c r="J8" s="502"/>
      <c r="K8" s="501">
        <v>2016</v>
      </c>
      <c r="L8" s="502"/>
    </row>
    <row r="9" spans="1:19"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9" ht="7.5" customHeight="1" x14ac:dyDescent="0.25">
      <c r="C10" s="2"/>
      <c r="D10" s="2"/>
      <c r="E10" s="2"/>
      <c r="F10" s="2"/>
      <c r="G10" s="2"/>
      <c r="H10" s="2"/>
      <c r="I10" s="2"/>
      <c r="J10" s="2"/>
      <c r="K10" s="2"/>
      <c r="L10" s="2"/>
      <c r="M10" s="2"/>
    </row>
    <row r="11" spans="1:19" x14ac:dyDescent="0.25">
      <c r="A11" s="511" t="s">
        <v>7</v>
      </c>
      <c r="B11" s="512"/>
      <c r="C11" s="10"/>
      <c r="D11" s="8"/>
      <c r="E11" s="7"/>
      <c r="F11" s="8"/>
      <c r="G11" s="7"/>
      <c r="H11" s="8"/>
      <c r="I11" s="7"/>
      <c r="J11" s="8"/>
      <c r="K11" s="7"/>
      <c r="L11" s="9"/>
    </row>
    <row r="12" spans="1:19" ht="35.25" customHeight="1" x14ac:dyDescent="0.25">
      <c r="A12" s="40">
        <v>1</v>
      </c>
      <c r="B12" s="31" t="s">
        <v>6</v>
      </c>
      <c r="C12" s="466"/>
      <c r="D12" s="465">
        <f>'UNU Add''l'!C7*1000</f>
        <v>7538000</v>
      </c>
      <c r="E12" s="464"/>
      <c r="F12" s="463">
        <f>'UNU Add''l'!D7*1000</f>
        <v>8381000</v>
      </c>
      <c r="G12" s="464"/>
      <c r="H12" s="463">
        <f>'UNU Add''l'!E7*1000</f>
        <v>11799000</v>
      </c>
      <c r="I12" s="464"/>
      <c r="J12" s="463">
        <f>'UNU Add''l'!F7*1000</f>
        <v>7671000</v>
      </c>
      <c r="K12" s="464"/>
      <c r="L12" s="463">
        <f>'UNU Add''l'!G7*1000</f>
        <v>8676000</v>
      </c>
      <c r="M12" s="444" t="s">
        <v>243</v>
      </c>
    </row>
    <row r="13" spans="1:19" ht="54.75" customHeight="1" x14ac:dyDescent="0.25">
      <c r="A13" s="48" t="s">
        <v>16</v>
      </c>
      <c r="B13" s="30" t="s">
        <v>31</v>
      </c>
      <c r="C13" s="17"/>
      <c r="D13" s="43"/>
      <c r="E13" s="18"/>
      <c r="F13" s="43"/>
      <c r="G13" s="18"/>
      <c r="H13" s="43"/>
      <c r="I13" s="18"/>
      <c r="J13" s="43"/>
      <c r="K13" s="18"/>
      <c r="L13" s="43"/>
      <c r="M13" s="669"/>
      <c r="N13" s="670"/>
      <c r="O13" s="670"/>
      <c r="P13" s="670"/>
      <c r="Q13" s="670"/>
      <c r="R13" s="670"/>
      <c r="S13" s="670"/>
    </row>
    <row r="14" spans="1:19" ht="7.5" customHeight="1" x14ac:dyDescent="0.25">
      <c r="A14" s="29"/>
      <c r="B14" s="406"/>
    </row>
    <row r="15" spans="1:19" x14ac:dyDescent="0.25">
      <c r="A15" s="509" t="s">
        <v>1</v>
      </c>
      <c r="B15" s="510"/>
      <c r="C15" s="10"/>
      <c r="D15" s="8"/>
      <c r="E15" s="7"/>
      <c r="F15" s="8"/>
      <c r="G15" s="7"/>
      <c r="H15" s="8"/>
      <c r="I15" s="7"/>
      <c r="J15" s="8"/>
      <c r="K15" s="7"/>
      <c r="L15" s="9"/>
    </row>
    <row r="16" spans="1:19" ht="33" customHeight="1" x14ac:dyDescent="0.25">
      <c r="A16" s="40">
        <v>2</v>
      </c>
      <c r="B16" s="31" t="s">
        <v>5</v>
      </c>
      <c r="C16" s="16"/>
      <c r="D16" s="462" t="s">
        <v>67</v>
      </c>
      <c r="E16" s="65"/>
      <c r="F16" s="462" t="s">
        <v>67</v>
      </c>
      <c r="G16" s="65"/>
      <c r="H16" s="460">
        <v>157900.84</v>
      </c>
      <c r="I16" s="461"/>
      <c r="J16" s="460">
        <f>H16+J25</f>
        <v>293516.24</v>
      </c>
      <c r="K16" s="461"/>
      <c r="L16" s="460">
        <f>J18+L25</f>
        <v>423207.57999999996</v>
      </c>
      <c r="M16" t="s">
        <v>242</v>
      </c>
    </row>
    <row r="17" spans="1:13" ht="36" customHeight="1" x14ac:dyDescent="0.25">
      <c r="A17" s="48" t="s">
        <v>17</v>
      </c>
      <c r="B17" s="30" t="s">
        <v>30</v>
      </c>
      <c r="C17" s="17"/>
      <c r="D17" s="453" t="s">
        <v>67</v>
      </c>
      <c r="E17" s="454"/>
      <c r="F17" s="453" t="s">
        <v>67</v>
      </c>
      <c r="G17" s="18"/>
      <c r="H17" s="170">
        <v>1.3</v>
      </c>
      <c r="I17" s="171"/>
      <c r="J17" s="170">
        <v>1.3</v>
      </c>
      <c r="K17" s="171"/>
      <c r="L17" s="170">
        <v>1.3</v>
      </c>
      <c r="M17" t="s">
        <v>241</v>
      </c>
    </row>
    <row r="18" spans="1:13" ht="18" customHeight="1" x14ac:dyDescent="0.25">
      <c r="A18" s="40">
        <v>3</v>
      </c>
      <c r="B18" s="31" t="s">
        <v>12</v>
      </c>
      <c r="C18" s="19"/>
      <c r="D18" s="458" t="s">
        <v>67</v>
      </c>
      <c r="E18" s="459"/>
      <c r="F18" s="458" t="s">
        <v>67</v>
      </c>
      <c r="G18" s="20"/>
      <c r="H18" s="457">
        <f>H16</f>
        <v>157900.84</v>
      </c>
      <c r="I18" s="20"/>
      <c r="J18" s="457">
        <f>J16</f>
        <v>293516.24</v>
      </c>
      <c r="K18" s="20"/>
      <c r="L18" s="457">
        <f>L16</f>
        <v>423207.57999999996</v>
      </c>
    </row>
    <row r="19" spans="1:13" ht="36" customHeight="1" x14ac:dyDescent="0.25">
      <c r="A19" s="49" t="s">
        <v>37</v>
      </c>
      <c r="B19" s="32" t="s">
        <v>35</v>
      </c>
      <c r="C19" s="19"/>
      <c r="D19" s="455" t="s">
        <v>67</v>
      </c>
      <c r="E19" s="456"/>
      <c r="F19" s="455" t="s">
        <v>67</v>
      </c>
      <c r="G19" s="20"/>
      <c r="H19" s="455" t="s">
        <v>67</v>
      </c>
      <c r="I19" s="20"/>
      <c r="J19" s="455" t="s">
        <v>67</v>
      </c>
      <c r="K19" s="20"/>
      <c r="L19" s="455" t="s">
        <v>67</v>
      </c>
    </row>
    <row r="20" spans="1:13" ht="18" customHeight="1" x14ac:dyDescent="0.25">
      <c r="A20" s="50" t="s">
        <v>41</v>
      </c>
      <c r="B20" s="32" t="s">
        <v>26</v>
      </c>
      <c r="C20" s="19"/>
      <c r="D20" s="455" t="s">
        <v>67</v>
      </c>
      <c r="E20" s="456"/>
      <c r="F20" s="455" t="s">
        <v>67</v>
      </c>
      <c r="G20" s="20"/>
      <c r="H20" s="455" t="s">
        <v>67</v>
      </c>
      <c r="I20" s="20"/>
      <c r="J20" s="455" t="s">
        <v>67</v>
      </c>
      <c r="K20" s="20"/>
      <c r="L20" s="455" t="s">
        <v>67</v>
      </c>
    </row>
    <row r="21" spans="1:13" ht="33" customHeight="1" x14ac:dyDescent="0.25">
      <c r="A21" s="50" t="s">
        <v>18</v>
      </c>
      <c r="B21" s="32" t="s">
        <v>28</v>
      </c>
      <c r="C21" s="19"/>
      <c r="D21" s="455" t="s">
        <v>67</v>
      </c>
      <c r="E21" s="456"/>
      <c r="F21" s="455" t="s">
        <v>67</v>
      </c>
      <c r="G21" s="20"/>
      <c r="H21" s="455" t="s">
        <v>67</v>
      </c>
      <c r="I21" s="20"/>
      <c r="J21" s="455" t="s">
        <v>67</v>
      </c>
      <c r="K21" s="20"/>
      <c r="L21" s="455" t="s">
        <v>67</v>
      </c>
    </row>
    <row r="22" spans="1:13" ht="18.75" customHeight="1" x14ac:dyDescent="0.25">
      <c r="A22" s="51" t="s">
        <v>25</v>
      </c>
      <c r="B22" s="30" t="s">
        <v>29</v>
      </c>
      <c r="C22" s="17"/>
      <c r="D22" s="453" t="s">
        <v>67</v>
      </c>
      <c r="E22" s="454"/>
      <c r="F22" s="453" t="s">
        <v>67</v>
      </c>
      <c r="G22" s="18"/>
      <c r="H22" s="453" t="s">
        <v>67</v>
      </c>
      <c r="I22" s="18"/>
      <c r="J22" s="453" t="s">
        <v>67</v>
      </c>
      <c r="K22" s="18"/>
      <c r="L22" s="453" t="s">
        <v>67</v>
      </c>
    </row>
    <row r="23" spans="1:13" ht="7.5" customHeight="1" x14ac:dyDescent="0.25">
      <c r="A23" s="29"/>
      <c r="B23" s="406"/>
    </row>
    <row r="24" spans="1:13" x14ac:dyDescent="0.25">
      <c r="A24" s="509" t="s">
        <v>13</v>
      </c>
      <c r="B24" s="510"/>
      <c r="C24" s="10"/>
      <c r="D24" s="10"/>
      <c r="E24" s="10"/>
      <c r="F24" s="10"/>
      <c r="G24" s="10"/>
      <c r="H24" s="10"/>
      <c r="I24" s="10"/>
      <c r="J24" s="10"/>
      <c r="K24" s="10"/>
      <c r="L24" s="8"/>
    </row>
    <row r="25" spans="1:13" ht="19.5" customHeight="1" x14ac:dyDescent="0.25">
      <c r="A25" s="40">
        <v>4</v>
      </c>
      <c r="B25" s="44" t="s">
        <v>40</v>
      </c>
      <c r="C25" s="16"/>
      <c r="D25" s="451" t="s">
        <v>67</v>
      </c>
      <c r="E25" s="452"/>
      <c r="F25" s="451" t="s">
        <v>67</v>
      </c>
      <c r="G25" s="16"/>
      <c r="H25" s="339">
        <v>157900.84</v>
      </c>
      <c r="I25" s="316"/>
      <c r="J25" s="339">
        <v>135615.4</v>
      </c>
      <c r="K25" s="316"/>
      <c r="L25" s="324">
        <v>129691.34</v>
      </c>
      <c r="M25" t="s">
        <v>240</v>
      </c>
    </row>
    <row r="26" spans="1:13" ht="19.5" customHeight="1" x14ac:dyDescent="0.25">
      <c r="A26" s="48" t="s">
        <v>19</v>
      </c>
      <c r="B26" s="30" t="s">
        <v>0</v>
      </c>
      <c r="C26" s="17"/>
      <c r="D26" s="449" t="s">
        <v>67</v>
      </c>
      <c r="E26" s="450"/>
      <c r="F26" s="449" t="s">
        <v>67</v>
      </c>
      <c r="G26" s="17"/>
      <c r="H26" s="24">
        <v>1.3</v>
      </c>
      <c r="I26" s="17"/>
      <c r="J26" s="24">
        <v>1.3</v>
      </c>
      <c r="K26" s="17"/>
      <c r="L26" s="24">
        <v>1.3</v>
      </c>
    </row>
    <row r="27" spans="1:13" ht="39.75" customHeight="1" x14ac:dyDescent="0.25">
      <c r="A27" s="40">
        <v>5</v>
      </c>
      <c r="B27" s="45" t="s">
        <v>38</v>
      </c>
      <c r="C27" s="21"/>
      <c r="D27" s="25" t="s">
        <v>67</v>
      </c>
      <c r="E27" s="21"/>
      <c r="F27" s="25" t="s">
        <v>67</v>
      </c>
      <c r="G27" s="21"/>
      <c r="H27" s="25" t="s">
        <v>67</v>
      </c>
      <c r="I27" s="21"/>
      <c r="J27" s="25" t="s">
        <v>67</v>
      </c>
      <c r="K27" s="21"/>
      <c r="L27" s="5" t="s">
        <v>67</v>
      </c>
    </row>
    <row r="28" spans="1:13" ht="48" customHeight="1" x14ac:dyDescent="0.25">
      <c r="A28" s="49" t="s">
        <v>20</v>
      </c>
      <c r="B28" s="34" t="s">
        <v>42</v>
      </c>
      <c r="C28" s="22"/>
      <c r="D28" s="26" t="s">
        <v>67</v>
      </c>
      <c r="E28" s="22"/>
      <c r="F28" s="26" t="s">
        <v>67</v>
      </c>
      <c r="G28" s="22"/>
      <c r="H28" s="26" t="s">
        <v>67</v>
      </c>
      <c r="I28" s="22"/>
      <c r="J28" s="26" t="s">
        <v>67</v>
      </c>
      <c r="K28" s="22"/>
      <c r="L28" s="27" t="s">
        <v>67</v>
      </c>
    </row>
    <row r="29" spans="1:13" ht="36" customHeight="1" x14ac:dyDescent="0.25">
      <c r="A29" s="49" t="s">
        <v>21</v>
      </c>
      <c r="B29" s="34" t="s">
        <v>34</v>
      </c>
      <c r="C29" s="22"/>
      <c r="D29" s="26" t="s">
        <v>67</v>
      </c>
      <c r="E29" s="22"/>
      <c r="F29" s="26" t="s">
        <v>67</v>
      </c>
      <c r="G29" s="22"/>
      <c r="H29" s="26" t="s">
        <v>67</v>
      </c>
      <c r="I29" s="22"/>
      <c r="J29" s="26" t="s">
        <v>67</v>
      </c>
      <c r="K29" s="22"/>
      <c r="L29" s="27" t="s">
        <v>67</v>
      </c>
    </row>
    <row r="30" spans="1:13" ht="66" customHeight="1" x14ac:dyDescent="0.25">
      <c r="A30" s="48" t="s">
        <v>22</v>
      </c>
      <c r="B30" s="35" t="s">
        <v>15</v>
      </c>
      <c r="C30" s="522" t="s">
        <v>239</v>
      </c>
      <c r="D30" s="505"/>
      <c r="E30" s="505"/>
      <c r="F30" s="505"/>
      <c r="G30" s="505"/>
      <c r="H30" s="505"/>
      <c r="I30" s="505"/>
      <c r="J30" s="505"/>
      <c r="K30" s="505"/>
      <c r="L30" s="506"/>
    </row>
    <row r="31" spans="1:13" ht="18" customHeight="1" x14ac:dyDescent="0.25">
      <c r="A31" s="40">
        <v>6</v>
      </c>
      <c r="B31" s="33" t="s">
        <v>14</v>
      </c>
      <c r="C31" s="28"/>
      <c r="D31" s="23" t="s">
        <v>67</v>
      </c>
      <c r="E31" s="16"/>
      <c r="F31" s="23" t="s">
        <v>67</v>
      </c>
      <c r="G31" s="16"/>
      <c r="H31" s="23" t="s">
        <v>67</v>
      </c>
      <c r="I31" s="16"/>
      <c r="J31" s="23" t="s">
        <v>67</v>
      </c>
      <c r="K31" s="16"/>
      <c r="L31" s="23" t="s">
        <v>67</v>
      </c>
    </row>
    <row r="32" spans="1:13"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6"/>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228</v>
      </c>
      <c r="D35" s="521"/>
      <c r="E35" s="520" t="s">
        <v>238</v>
      </c>
      <c r="F35" s="521"/>
      <c r="G35" s="520" t="s">
        <v>238</v>
      </c>
      <c r="H35" s="521"/>
      <c r="I35" s="520" t="s">
        <v>238</v>
      </c>
      <c r="J35" s="521"/>
      <c r="K35" s="520" t="s">
        <v>238</v>
      </c>
      <c r="L35" s="521"/>
    </row>
    <row r="36" spans="1:13" x14ac:dyDescent="0.25">
      <c r="A36" s="39">
        <v>8</v>
      </c>
      <c r="B36" s="36" t="s">
        <v>4</v>
      </c>
      <c r="C36" s="658">
        <v>11000</v>
      </c>
      <c r="D36" s="659"/>
      <c r="E36" s="658">
        <v>6500</v>
      </c>
      <c r="F36" s="659"/>
      <c r="G36" s="448"/>
      <c r="H36" s="447">
        <v>4118</v>
      </c>
      <c r="I36" s="658">
        <v>9409</v>
      </c>
      <c r="J36" s="659"/>
      <c r="K36" s="446"/>
      <c r="L36" s="445">
        <v>6947</v>
      </c>
      <c r="M36" s="444"/>
    </row>
    <row r="37" spans="1:13" ht="15.75" thickBot="1" x14ac:dyDescent="0.3">
      <c r="A37" s="405">
        <v>9</v>
      </c>
      <c r="B37" s="37" t="s">
        <v>44</v>
      </c>
      <c r="C37" s="486" t="s">
        <v>62</v>
      </c>
      <c r="D37" s="487"/>
      <c r="E37" s="490" t="s">
        <v>62</v>
      </c>
      <c r="F37" s="487"/>
      <c r="G37" s="490" t="s">
        <v>62</v>
      </c>
      <c r="H37" s="487"/>
      <c r="I37" s="490" t="s">
        <v>62</v>
      </c>
      <c r="J37" s="487"/>
      <c r="K37" s="490" t="s">
        <v>62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6"/>
    </row>
    <row r="42" spans="1:13" x14ac:dyDescent="0.25">
      <c r="B42" s="406"/>
    </row>
    <row r="43" spans="1:13" x14ac:dyDescent="0.25">
      <c r="B43" s="406"/>
    </row>
    <row r="44" spans="1:13" x14ac:dyDescent="0.25">
      <c r="B44" s="406"/>
    </row>
    <row r="45" spans="1:13" x14ac:dyDescent="0.25">
      <c r="B45" s="406"/>
    </row>
  </sheetData>
  <mergeCells count="34">
    <mergeCell ref="A8:A9"/>
    <mergeCell ref="A34:B34"/>
    <mergeCell ref="A24:B24"/>
    <mergeCell ref="A15:B15"/>
    <mergeCell ref="A11:B11"/>
    <mergeCell ref="B8:B9"/>
    <mergeCell ref="B1:L1"/>
    <mergeCell ref="B2:L2"/>
    <mergeCell ref="B4:L4"/>
    <mergeCell ref="C6:L6"/>
    <mergeCell ref="C8:D8"/>
    <mergeCell ref="E8:F8"/>
    <mergeCell ref="G8:H8"/>
    <mergeCell ref="I8:J8"/>
    <mergeCell ref="K8:L8"/>
    <mergeCell ref="B40:L40"/>
    <mergeCell ref="C37:D37"/>
    <mergeCell ref="C36:D36"/>
    <mergeCell ref="G37:H37"/>
    <mergeCell ref="B38:L38"/>
    <mergeCell ref="E37:F37"/>
    <mergeCell ref="K37:L37"/>
    <mergeCell ref="I37:J37"/>
    <mergeCell ref="E36:F36"/>
    <mergeCell ref="I36:J36"/>
    <mergeCell ref="C35:D35"/>
    <mergeCell ref="C30:L30"/>
    <mergeCell ref="C32:L32"/>
    <mergeCell ref="M13:S13"/>
    <mergeCell ref="B39:L39"/>
    <mergeCell ref="G35:H35"/>
    <mergeCell ref="E35:F35"/>
    <mergeCell ref="K35:L35"/>
    <mergeCell ref="I35:J35"/>
  </mergeCells>
  <pageMargins left="0.7" right="0.7" top="0.75" bottom="0.75" header="0.3" footer="0.3"/>
  <pageSetup scale="54" orientation="landscape" r:id="rId1"/>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16" sqref="G16"/>
    </sheetView>
  </sheetViews>
  <sheetFormatPr defaultRowHeight="15" x14ac:dyDescent="0.25"/>
  <cols>
    <col min="1" max="1" width="19.7109375" customWidth="1"/>
  </cols>
  <sheetData>
    <row r="1" spans="1:7" x14ac:dyDescent="0.25">
      <c r="A1" s="400" t="s">
        <v>249</v>
      </c>
    </row>
    <row r="2" spans="1:7" x14ac:dyDescent="0.25">
      <c r="B2" s="470">
        <v>2011</v>
      </c>
      <c r="C2" s="470">
        <v>2012</v>
      </c>
      <c r="D2" s="470">
        <v>2013</v>
      </c>
      <c r="E2" s="470">
        <v>2014</v>
      </c>
      <c r="F2" s="470">
        <v>2015</v>
      </c>
      <c r="G2" s="470">
        <v>2016</v>
      </c>
    </row>
    <row r="3" spans="1:7" x14ac:dyDescent="0.25">
      <c r="A3" t="s">
        <v>248</v>
      </c>
      <c r="B3" s="304">
        <v>11676</v>
      </c>
      <c r="C3" s="304"/>
      <c r="D3" s="304">
        <v>14216</v>
      </c>
      <c r="E3" s="304"/>
      <c r="F3" s="304">
        <v>12673</v>
      </c>
      <c r="G3" s="304">
        <v>14333</v>
      </c>
    </row>
    <row r="4" spans="1:7" x14ac:dyDescent="0.25">
      <c r="A4" s="444" t="s">
        <v>247</v>
      </c>
      <c r="B4" s="469">
        <f>-(B3-B5)</f>
        <v>-4992</v>
      </c>
      <c r="C4" s="469"/>
      <c r="D4" s="469">
        <f>-(D3-D5)</f>
        <v>-5835</v>
      </c>
      <c r="E4" s="469"/>
      <c r="F4" s="469">
        <f>-(F3-F5)</f>
        <v>-5002</v>
      </c>
      <c r="G4" s="304">
        <v>-5657</v>
      </c>
    </row>
    <row r="5" spans="1:7" x14ac:dyDescent="0.25">
      <c r="A5" t="s">
        <v>246</v>
      </c>
      <c r="B5" s="468">
        <v>6684</v>
      </c>
      <c r="C5" s="468">
        <v>7538</v>
      </c>
      <c r="D5" s="468">
        <v>8381</v>
      </c>
      <c r="E5" s="468">
        <v>11799</v>
      </c>
      <c r="F5" s="468">
        <v>7671</v>
      </c>
      <c r="G5" s="468">
        <f>G3+G4</f>
        <v>8676</v>
      </c>
    </row>
    <row r="6" spans="1:7" x14ac:dyDescent="0.25">
      <c r="D6" s="132"/>
      <c r="E6" s="132"/>
      <c r="F6" s="132"/>
    </row>
    <row r="7" spans="1:7" x14ac:dyDescent="0.25">
      <c r="A7" t="s">
        <v>245</v>
      </c>
      <c r="B7">
        <v>6684</v>
      </c>
      <c r="C7">
        <v>7538</v>
      </c>
      <c r="D7">
        <v>8381</v>
      </c>
      <c r="E7">
        <v>11799</v>
      </c>
      <c r="F7">
        <v>7671</v>
      </c>
      <c r="G7" s="467">
        <v>8676</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zoomScaleNormal="100" workbookViewId="0">
      <selection activeCell="A12" sqref="A12"/>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250</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473"/>
      <c r="D12" s="47"/>
      <c r="E12" s="473">
        <v>28544000</v>
      </c>
      <c r="F12" s="47">
        <v>0</v>
      </c>
      <c r="G12" s="473">
        <v>36684000</v>
      </c>
      <c r="H12" s="47">
        <v>0</v>
      </c>
      <c r="I12" s="473">
        <v>31327000</v>
      </c>
      <c r="J12" s="47">
        <v>0</v>
      </c>
      <c r="K12" s="473">
        <v>29574000</v>
      </c>
      <c r="L12" s="47">
        <v>0</v>
      </c>
    </row>
    <row r="13" spans="1:13" ht="36.75" customHeight="1" x14ac:dyDescent="0.25">
      <c r="A13" s="48" t="s">
        <v>16</v>
      </c>
      <c r="B13" s="30" t="s">
        <v>31</v>
      </c>
      <c r="C13" s="66"/>
      <c r="D13" s="43"/>
      <c r="E13" s="66">
        <f>+E12/23304000</f>
        <v>1.2248541023000343</v>
      </c>
      <c r="F13" s="43"/>
      <c r="G13" s="66">
        <f>+G12/6287000</f>
        <v>5.8348974073484969</v>
      </c>
      <c r="H13" s="43"/>
      <c r="I13" s="66">
        <f>+I12/29108000</f>
        <v>1.0762333379139755</v>
      </c>
      <c r="J13" s="43"/>
      <c r="K13" s="66">
        <f>+K12/19749000</f>
        <v>1.4974935439769101</v>
      </c>
      <c r="L13" s="43"/>
    </row>
    <row r="14" spans="1:13" ht="7.5" customHeight="1" x14ac:dyDescent="0.25">
      <c r="A14" s="29"/>
      <c r="B14" s="408"/>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v>0</v>
      </c>
      <c r="D16" s="11">
        <v>0</v>
      </c>
      <c r="E16" s="65">
        <v>0</v>
      </c>
      <c r="F16" s="11">
        <v>0</v>
      </c>
      <c r="G16" s="65">
        <v>0</v>
      </c>
      <c r="H16" s="11">
        <v>0</v>
      </c>
      <c r="I16" s="65">
        <v>0</v>
      </c>
      <c r="J16" s="11">
        <v>0</v>
      </c>
      <c r="K16" s="65">
        <v>0</v>
      </c>
      <c r="L16" s="11">
        <v>0</v>
      </c>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19">
        <v>0</v>
      </c>
      <c r="D18" s="12">
        <v>0</v>
      </c>
      <c r="E18" s="20">
        <v>0</v>
      </c>
      <c r="F18" s="12">
        <v>0</v>
      </c>
      <c r="G18" s="20">
        <v>0</v>
      </c>
      <c r="H18" s="12">
        <v>0</v>
      </c>
      <c r="I18" s="20">
        <v>0</v>
      </c>
      <c r="J18" s="12">
        <v>0</v>
      </c>
      <c r="K18" s="20">
        <v>0</v>
      </c>
      <c r="L18" s="12">
        <v>0</v>
      </c>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408"/>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v>0</v>
      </c>
      <c r="D25" s="23">
        <v>0</v>
      </c>
      <c r="E25" s="16">
        <v>0</v>
      </c>
      <c r="F25" s="23">
        <v>0</v>
      </c>
      <c r="G25" s="16">
        <v>0</v>
      </c>
      <c r="H25" s="23">
        <v>0</v>
      </c>
      <c r="I25" s="16">
        <v>0</v>
      </c>
      <c r="J25" s="23">
        <v>0</v>
      </c>
      <c r="K25" s="16">
        <v>0</v>
      </c>
      <c r="L25" s="11">
        <v>0</v>
      </c>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v>0</v>
      </c>
      <c r="D27" s="25">
        <v>0</v>
      </c>
      <c r="E27" s="21">
        <v>0</v>
      </c>
      <c r="F27" s="25">
        <v>0</v>
      </c>
      <c r="G27" s="21">
        <v>0</v>
      </c>
      <c r="H27" s="25">
        <v>0</v>
      </c>
      <c r="I27" s="21">
        <v>0</v>
      </c>
      <c r="J27" s="25">
        <v>0</v>
      </c>
      <c r="K27" s="21">
        <v>0</v>
      </c>
      <c r="L27" s="5">
        <v>0</v>
      </c>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v>0</v>
      </c>
      <c r="D31" s="23">
        <v>0</v>
      </c>
      <c r="E31" s="16">
        <v>0</v>
      </c>
      <c r="F31" s="23">
        <v>0</v>
      </c>
      <c r="G31" s="16">
        <v>0</v>
      </c>
      <c r="H31" s="23">
        <v>0</v>
      </c>
      <c r="I31" s="16">
        <v>0</v>
      </c>
      <c r="J31" s="23">
        <v>0</v>
      </c>
      <c r="K31" s="16">
        <v>0</v>
      </c>
      <c r="L31" s="23">
        <v>0</v>
      </c>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8"/>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238</v>
      </c>
      <c r="D35" s="521"/>
      <c r="E35" s="526" t="s">
        <v>238</v>
      </c>
      <c r="F35" s="521"/>
      <c r="G35" s="526" t="s">
        <v>238</v>
      </c>
      <c r="H35" s="521"/>
      <c r="I35" s="526" t="s">
        <v>238</v>
      </c>
      <c r="J35" s="521"/>
      <c r="K35" s="526" t="s">
        <v>238</v>
      </c>
      <c r="L35" s="521"/>
    </row>
    <row r="36" spans="1:13" x14ac:dyDescent="0.25">
      <c r="A36" s="39">
        <v>8</v>
      </c>
      <c r="B36" s="36" t="s">
        <v>4</v>
      </c>
      <c r="C36" s="673"/>
      <c r="D36" s="672"/>
      <c r="E36" s="671"/>
      <c r="F36" s="672"/>
      <c r="G36" s="671"/>
      <c r="H36" s="672"/>
      <c r="I36" s="671"/>
      <c r="J36" s="672"/>
      <c r="K36" s="671"/>
      <c r="L36" s="672"/>
    </row>
    <row r="37" spans="1:13" ht="15.75" thickBot="1" x14ac:dyDescent="0.3">
      <c r="A37" s="407">
        <v>9</v>
      </c>
      <c r="B37" s="37" t="s">
        <v>44</v>
      </c>
      <c r="C37" s="486" t="s">
        <v>62</v>
      </c>
      <c r="D37" s="487"/>
      <c r="E37" s="490" t="s">
        <v>61</v>
      </c>
      <c r="F37" s="487"/>
      <c r="G37" s="490" t="s">
        <v>61</v>
      </c>
      <c r="H37" s="487"/>
      <c r="I37" s="490" t="s">
        <v>61</v>
      </c>
      <c r="J37" s="487"/>
      <c r="K37" s="490" t="s">
        <v>62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8"/>
    </row>
    <row r="42" spans="1:13" x14ac:dyDescent="0.25">
      <c r="B42" s="408"/>
    </row>
    <row r="43" spans="1:13" x14ac:dyDescent="0.25">
      <c r="B43" s="408"/>
    </row>
    <row r="44" spans="1:13" x14ac:dyDescent="0.25">
      <c r="B44" s="408"/>
    </row>
    <row r="45" spans="1:13" x14ac:dyDescent="0.25">
      <c r="B45" s="408"/>
    </row>
  </sheetData>
  <mergeCells count="35">
    <mergeCell ref="K36:L36"/>
    <mergeCell ref="I37:J37"/>
    <mergeCell ref="I36:J36"/>
    <mergeCell ref="B39:L39"/>
    <mergeCell ref="B40:L40"/>
    <mergeCell ref="C37:D37"/>
    <mergeCell ref="C36:D36"/>
    <mergeCell ref="G37:H37"/>
    <mergeCell ref="G36:H36"/>
    <mergeCell ref="B38:L38"/>
    <mergeCell ref="E37:F37"/>
    <mergeCell ref="E36:F36"/>
    <mergeCell ref="K37:L37"/>
    <mergeCell ref="C30:L30"/>
    <mergeCell ref="C32:L32"/>
    <mergeCell ref="G35:H35"/>
    <mergeCell ref="E35:F35"/>
    <mergeCell ref="K35:L35"/>
    <mergeCell ref="I35:J35"/>
    <mergeCell ref="C35:D35"/>
    <mergeCell ref="B1:L1"/>
    <mergeCell ref="B2:L2"/>
    <mergeCell ref="B4:L4"/>
    <mergeCell ref="C6:L6"/>
    <mergeCell ref="C8:D8"/>
    <mergeCell ref="E8:F8"/>
    <mergeCell ref="G8:H8"/>
    <mergeCell ref="I8:J8"/>
    <mergeCell ref="K8:L8"/>
    <mergeCell ref="A8:A9"/>
    <mergeCell ref="A34:B34"/>
    <mergeCell ref="A24:B24"/>
    <mergeCell ref="A15:B15"/>
    <mergeCell ref="A11:B11"/>
    <mergeCell ref="B8:B9"/>
  </mergeCells>
  <pageMargins left="0.7" right="0.7" top="0.75" bottom="0.75" header="0.3" footer="0.3"/>
  <pageSetup scale="54" orientation="landscape"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workbookViewId="0">
      <selection activeCell="E12" sqref="E12"/>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251</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473"/>
      <c r="D12" s="47"/>
      <c r="E12" s="473">
        <v>40895000</v>
      </c>
      <c r="F12" s="47">
        <v>0</v>
      </c>
      <c r="G12" s="473">
        <v>41153000</v>
      </c>
      <c r="H12" s="47">
        <v>0</v>
      </c>
      <c r="I12" s="473">
        <v>34853000</v>
      </c>
      <c r="J12" s="47">
        <v>0</v>
      </c>
      <c r="K12" s="473">
        <v>0</v>
      </c>
      <c r="L12" s="47">
        <v>0</v>
      </c>
    </row>
    <row r="13" spans="1:13" ht="36.75" customHeight="1" x14ac:dyDescent="0.25">
      <c r="A13" s="48" t="s">
        <v>16</v>
      </c>
      <c r="B13" s="30" t="s">
        <v>31</v>
      </c>
      <c r="C13" s="66"/>
      <c r="D13" s="43"/>
      <c r="E13" s="474">
        <f>+E12/-13385000</f>
        <v>-3.0552857676503549</v>
      </c>
      <c r="F13" s="43"/>
      <c r="G13" s="66">
        <f>+G12/-22457000</f>
        <v>-1.8325243799260809</v>
      </c>
      <c r="H13" s="43"/>
      <c r="I13" s="66">
        <f>+I12/5955000</f>
        <v>5.8527287993282959</v>
      </c>
      <c r="J13" s="43"/>
      <c r="K13" s="66">
        <f>+K12/8101000</f>
        <v>0</v>
      </c>
      <c r="L13" s="43"/>
    </row>
    <row r="14" spans="1:13" ht="7.5" customHeight="1" x14ac:dyDescent="0.25">
      <c r="A14" s="29"/>
      <c r="B14" s="408"/>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v>0</v>
      </c>
      <c r="D16" s="11">
        <v>0</v>
      </c>
      <c r="E16" s="65">
        <v>0</v>
      </c>
      <c r="F16" s="11">
        <v>0</v>
      </c>
      <c r="G16" s="65">
        <v>0</v>
      </c>
      <c r="H16" s="11">
        <v>0</v>
      </c>
      <c r="I16" s="65">
        <v>0</v>
      </c>
      <c r="J16" s="11">
        <v>0</v>
      </c>
      <c r="K16" s="65">
        <v>0</v>
      </c>
      <c r="L16" s="11">
        <v>0</v>
      </c>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19">
        <v>0</v>
      </c>
      <c r="D18" s="12">
        <v>0</v>
      </c>
      <c r="E18" s="20">
        <v>0</v>
      </c>
      <c r="F18" s="12">
        <v>0</v>
      </c>
      <c r="G18" s="20">
        <v>0</v>
      </c>
      <c r="H18" s="12">
        <v>0</v>
      </c>
      <c r="I18" s="20">
        <v>0</v>
      </c>
      <c r="J18" s="12">
        <v>0</v>
      </c>
      <c r="K18" s="20">
        <v>0</v>
      </c>
      <c r="L18" s="12">
        <v>0</v>
      </c>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408"/>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v>0</v>
      </c>
      <c r="D25" s="23">
        <v>0</v>
      </c>
      <c r="E25" s="16">
        <v>0</v>
      </c>
      <c r="F25" s="23">
        <v>0</v>
      </c>
      <c r="G25" s="16">
        <v>0</v>
      </c>
      <c r="H25" s="23">
        <v>0</v>
      </c>
      <c r="I25" s="16">
        <v>0</v>
      </c>
      <c r="J25" s="23">
        <v>0</v>
      </c>
      <c r="K25" s="16">
        <v>0</v>
      </c>
      <c r="L25" s="11">
        <v>0</v>
      </c>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v>0</v>
      </c>
      <c r="D27" s="25">
        <v>0</v>
      </c>
      <c r="E27" s="21">
        <v>0</v>
      </c>
      <c r="F27" s="25">
        <v>0</v>
      </c>
      <c r="G27" s="21">
        <v>0</v>
      </c>
      <c r="H27" s="25">
        <v>0</v>
      </c>
      <c r="I27" s="21">
        <v>0</v>
      </c>
      <c r="J27" s="25">
        <v>0</v>
      </c>
      <c r="K27" s="21">
        <v>0</v>
      </c>
      <c r="L27" s="5">
        <v>0</v>
      </c>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v>0</v>
      </c>
      <c r="D31" s="23">
        <v>0</v>
      </c>
      <c r="E31" s="16">
        <v>0</v>
      </c>
      <c r="F31" s="23">
        <v>0</v>
      </c>
      <c r="G31" s="16">
        <v>0</v>
      </c>
      <c r="H31" s="23">
        <v>0</v>
      </c>
      <c r="I31" s="16">
        <v>0</v>
      </c>
      <c r="J31" s="23">
        <v>0</v>
      </c>
      <c r="K31" s="16">
        <v>0</v>
      </c>
      <c r="L31" s="23">
        <v>0</v>
      </c>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8"/>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238</v>
      </c>
      <c r="D35" s="521"/>
      <c r="E35" s="526" t="s">
        <v>238</v>
      </c>
      <c r="F35" s="521"/>
      <c r="G35" s="526" t="s">
        <v>238</v>
      </c>
      <c r="H35" s="521"/>
      <c r="I35" s="526" t="s">
        <v>238</v>
      </c>
      <c r="J35" s="521"/>
      <c r="K35" s="526" t="s">
        <v>238</v>
      </c>
      <c r="L35" s="521"/>
    </row>
    <row r="36" spans="1:13" x14ac:dyDescent="0.25">
      <c r="A36" s="39">
        <v>8</v>
      </c>
      <c r="B36" s="36" t="s">
        <v>4</v>
      </c>
      <c r="C36" s="673"/>
      <c r="D36" s="672"/>
      <c r="E36" s="671"/>
      <c r="F36" s="672"/>
      <c r="G36" s="671"/>
      <c r="H36" s="672"/>
      <c r="I36" s="671"/>
      <c r="J36" s="672"/>
      <c r="K36" s="671"/>
      <c r="L36" s="672"/>
    </row>
    <row r="37" spans="1:13" ht="15.75" thickBot="1" x14ac:dyDescent="0.3">
      <c r="A37" s="407">
        <v>9</v>
      </c>
      <c r="B37" s="37" t="s">
        <v>44</v>
      </c>
      <c r="C37" s="486" t="s">
        <v>62</v>
      </c>
      <c r="D37" s="487"/>
      <c r="E37" s="490" t="s">
        <v>61</v>
      </c>
      <c r="F37" s="487"/>
      <c r="G37" s="490" t="s">
        <v>62</v>
      </c>
      <c r="H37" s="487"/>
      <c r="I37" s="490" t="s">
        <v>61</v>
      </c>
      <c r="J37" s="487"/>
      <c r="K37" s="490" t="s">
        <v>61</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8"/>
    </row>
    <row r="42" spans="1:13" x14ac:dyDescent="0.25">
      <c r="B42" s="408"/>
    </row>
    <row r="43" spans="1:13" x14ac:dyDescent="0.25">
      <c r="B43" s="408"/>
    </row>
    <row r="44" spans="1:13" x14ac:dyDescent="0.25">
      <c r="B44" s="408"/>
    </row>
    <row r="45" spans="1:13" x14ac:dyDescent="0.25">
      <c r="B45" s="408"/>
    </row>
  </sheetData>
  <mergeCells count="35">
    <mergeCell ref="B38:L38"/>
    <mergeCell ref="B39:L39"/>
    <mergeCell ref="B40:L40"/>
    <mergeCell ref="C36:D36"/>
    <mergeCell ref="E36:F36"/>
    <mergeCell ref="G36:H36"/>
    <mergeCell ref="I36:J36"/>
    <mergeCell ref="K36:L36"/>
    <mergeCell ref="C37:D37"/>
    <mergeCell ref="E37:F37"/>
    <mergeCell ref="G37:H37"/>
    <mergeCell ref="I37:J37"/>
    <mergeCell ref="K37:L37"/>
    <mergeCell ref="A15:B15"/>
    <mergeCell ref="A24:B24"/>
    <mergeCell ref="C30:L30"/>
    <mergeCell ref="G35:H35"/>
    <mergeCell ref="I35:J35"/>
    <mergeCell ref="K35:L35"/>
    <mergeCell ref="C32:L32"/>
    <mergeCell ref="A34:B34"/>
    <mergeCell ref="C35:D35"/>
    <mergeCell ref="E35:F35"/>
    <mergeCell ref="B1:L1"/>
    <mergeCell ref="B2:L2"/>
    <mergeCell ref="B4:L4"/>
    <mergeCell ref="C6:L6"/>
    <mergeCell ref="A8:A9"/>
    <mergeCell ref="B8:B9"/>
    <mergeCell ref="C8:D8"/>
    <mergeCell ref="E8:F8"/>
    <mergeCell ref="G8:H8"/>
    <mergeCell ref="I8:J8"/>
    <mergeCell ref="K8:L8"/>
    <mergeCell ref="A11:B1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zoomScaleNormal="100" workbookViewId="0">
      <selection activeCell="B40" sqref="B40:L40"/>
    </sheetView>
  </sheetViews>
  <sheetFormatPr defaultColWidth="8.85546875"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65</v>
      </c>
      <c r="D6" s="499"/>
      <c r="E6" s="499"/>
      <c r="F6" s="499"/>
      <c r="G6" s="499"/>
      <c r="H6" s="499"/>
      <c r="I6" s="499"/>
      <c r="J6" s="499"/>
      <c r="K6" s="499"/>
      <c r="L6" s="500"/>
    </row>
    <row r="7" spans="1:13" ht="15.75" thickBot="1" x14ac:dyDescent="0.3"/>
    <row r="8" spans="1:13" x14ac:dyDescent="0.25">
      <c r="A8" s="507" t="s">
        <v>24</v>
      </c>
      <c r="B8" s="513" t="s">
        <v>66</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52">
        <v>777205</v>
      </c>
      <c r="D12" s="47"/>
      <c r="E12" s="52">
        <v>838751</v>
      </c>
      <c r="F12" s="47"/>
      <c r="G12" s="52">
        <v>1265128</v>
      </c>
      <c r="H12" s="47"/>
      <c r="I12" s="52">
        <v>780019</v>
      </c>
      <c r="J12" s="47"/>
      <c r="K12" s="65">
        <v>767046</v>
      </c>
      <c r="L12" s="47"/>
    </row>
    <row r="13" spans="1:13" ht="36.75" customHeight="1" x14ac:dyDescent="0.25">
      <c r="A13" s="48" t="s">
        <v>16</v>
      </c>
      <c r="B13" s="30" t="s">
        <v>31</v>
      </c>
      <c r="C13" s="66">
        <f>+C12/243453</f>
        <v>3.1924231781904515</v>
      </c>
      <c r="D13" s="43"/>
      <c r="E13" s="66">
        <f>+E12/184476</f>
        <v>4.5466673171577874</v>
      </c>
      <c r="F13" s="43"/>
      <c r="G13" s="66">
        <f>+G12/(-241485)</f>
        <v>-5.23895065946125</v>
      </c>
      <c r="H13" s="43"/>
      <c r="I13" s="67">
        <f>+I12/255694</f>
        <v>3.0505956338435785</v>
      </c>
      <c r="J13" s="43"/>
      <c r="K13" s="67">
        <f>+K12/255359</f>
        <v>3.0037946577171746</v>
      </c>
      <c r="L13" s="43"/>
    </row>
    <row r="14" spans="1:13" ht="7.5" customHeight="1" x14ac:dyDescent="0.25">
      <c r="A14" s="29"/>
      <c r="B14" s="3"/>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t="s">
        <v>67</v>
      </c>
      <c r="D16" s="11"/>
      <c r="E16" s="16" t="s">
        <v>67</v>
      </c>
      <c r="F16" s="11"/>
      <c r="G16" s="16" t="s">
        <v>67</v>
      </c>
      <c r="H16" s="11"/>
      <c r="I16" s="52">
        <v>3066</v>
      </c>
      <c r="J16" s="11"/>
      <c r="K16" s="65">
        <v>4702</v>
      </c>
      <c r="L16" s="11"/>
    </row>
    <row r="17" spans="1:12" ht="36" customHeight="1" x14ac:dyDescent="0.25">
      <c r="A17" s="48" t="s">
        <v>17</v>
      </c>
      <c r="B17" s="30" t="s">
        <v>30</v>
      </c>
      <c r="C17" s="17"/>
      <c r="D17" s="6"/>
      <c r="E17" s="18"/>
      <c r="F17" s="6"/>
      <c r="G17" s="18"/>
      <c r="H17" s="6"/>
      <c r="I17" s="68">
        <f>+I16/156616</f>
        <v>1.9576543903560301E-2</v>
      </c>
      <c r="J17" s="6"/>
      <c r="K17" s="68">
        <f>+K16/150372</f>
        <v>3.1269119250924376E-2</v>
      </c>
      <c r="L17" s="6"/>
    </row>
    <row r="18" spans="1:12" ht="18" customHeight="1" x14ac:dyDescent="0.25">
      <c r="A18" s="40">
        <v>3</v>
      </c>
      <c r="B18" s="69" t="s">
        <v>12</v>
      </c>
      <c r="C18" s="16" t="s">
        <v>67</v>
      </c>
      <c r="D18" s="11"/>
      <c r="E18" s="16" t="s">
        <v>67</v>
      </c>
      <c r="F18" s="11"/>
      <c r="G18" s="16" t="s">
        <v>67</v>
      </c>
      <c r="H18" s="12"/>
      <c r="I18" s="20">
        <v>3066</v>
      </c>
      <c r="J18" s="12"/>
      <c r="K18" s="20">
        <f>+I18+K16</f>
        <v>7768</v>
      </c>
      <c r="L18" s="12"/>
    </row>
    <row r="19" spans="1:12" ht="36" customHeight="1" x14ac:dyDescent="0.25">
      <c r="A19" s="49" t="s">
        <v>37</v>
      </c>
      <c r="B19" s="70" t="s">
        <v>35</v>
      </c>
      <c r="C19" s="19"/>
      <c r="D19" s="12"/>
      <c r="E19" s="20"/>
      <c r="F19" s="12"/>
      <c r="G19" s="20"/>
      <c r="H19" s="12"/>
      <c r="I19" s="20">
        <v>9.6999999999999993</v>
      </c>
      <c r="J19" s="12"/>
      <c r="K19" s="20">
        <v>65.7</v>
      </c>
      <c r="L19" s="12"/>
    </row>
    <row r="20" spans="1:12" ht="18" customHeight="1" x14ac:dyDescent="0.25">
      <c r="A20" s="50" t="s">
        <v>41</v>
      </c>
      <c r="B20" s="70" t="s">
        <v>26</v>
      </c>
      <c r="C20" s="19"/>
      <c r="D20" s="12"/>
      <c r="E20" s="20"/>
      <c r="F20" s="12"/>
      <c r="G20" s="20"/>
      <c r="H20" s="12"/>
      <c r="I20" s="71">
        <v>6.4000000000000003E-3</v>
      </c>
      <c r="J20" s="12"/>
      <c r="K20" s="71">
        <v>1.0800000000000001E-2</v>
      </c>
      <c r="L20" s="12"/>
    </row>
    <row r="21" spans="1:12" ht="33" customHeight="1" x14ac:dyDescent="0.25">
      <c r="A21" s="50" t="s">
        <v>18</v>
      </c>
      <c r="B21" s="70" t="s">
        <v>28</v>
      </c>
      <c r="C21" s="19"/>
      <c r="D21" s="12"/>
      <c r="E21" s="20"/>
      <c r="F21" s="12"/>
      <c r="G21" s="20"/>
      <c r="H21" s="12"/>
      <c r="I21" s="72">
        <v>1</v>
      </c>
      <c r="J21" s="12"/>
      <c r="K21" s="72">
        <v>1</v>
      </c>
      <c r="L21" s="12"/>
    </row>
    <row r="22" spans="1:12" ht="18.75" customHeight="1" x14ac:dyDescent="0.25">
      <c r="A22" s="51" t="s">
        <v>25</v>
      </c>
      <c r="B22" s="73" t="s">
        <v>29</v>
      </c>
      <c r="C22" s="17"/>
      <c r="D22" s="6"/>
      <c r="E22" s="18"/>
      <c r="F22" s="6"/>
      <c r="G22" s="18"/>
      <c r="H22" s="6"/>
      <c r="I22" s="74">
        <v>0</v>
      </c>
      <c r="J22" s="6"/>
      <c r="K22" s="74">
        <v>0</v>
      </c>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t="s">
        <v>67</v>
      </c>
      <c r="D25" s="11"/>
      <c r="E25" s="16" t="s">
        <v>67</v>
      </c>
      <c r="F25" s="11"/>
      <c r="G25" s="16" t="s">
        <v>67</v>
      </c>
      <c r="H25" s="23"/>
      <c r="I25" s="16"/>
      <c r="J25" s="16">
        <v>923</v>
      </c>
      <c r="K25" s="16">
        <v>3406</v>
      </c>
      <c r="L25" s="16">
        <v>1296</v>
      </c>
    </row>
    <row r="26" spans="1:12" ht="19.5" customHeight="1" x14ac:dyDescent="0.25">
      <c r="A26" s="48" t="s">
        <v>19</v>
      </c>
      <c r="B26" s="30" t="s">
        <v>0</v>
      </c>
      <c r="C26" s="17"/>
      <c r="D26" s="24"/>
      <c r="E26" s="17"/>
      <c r="F26" s="24"/>
      <c r="G26" s="17"/>
      <c r="H26" s="24"/>
      <c r="I26" s="75"/>
      <c r="J26" s="75">
        <v>0.04</v>
      </c>
      <c r="K26" s="75">
        <v>0.01</v>
      </c>
      <c r="L26" s="75">
        <v>0.04</v>
      </c>
    </row>
    <row r="27" spans="1:12" ht="39.75" customHeight="1" x14ac:dyDescent="0.25">
      <c r="A27" s="40">
        <v>5</v>
      </c>
      <c r="B27" s="45" t="s">
        <v>38</v>
      </c>
      <c r="C27" s="16" t="s">
        <v>67</v>
      </c>
      <c r="D27" s="11"/>
      <c r="E27" s="16" t="s">
        <v>67</v>
      </c>
      <c r="F27" s="11"/>
      <c r="G27" s="16" t="s">
        <v>67</v>
      </c>
      <c r="H27" s="25"/>
      <c r="I27" s="21"/>
      <c r="J27" s="25"/>
      <c r="K27" s="21"/>
      <c r="L27" s="5"/>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16" t="s">
        <v>67</v>
      </c>
      <c r="D31" s="11"/>
      <c r="E31" s="16" t="s">
        <v>67</v>
      </c>
      <c r="F31" s="11"/>
      <c r="G31" s="16" t="s">
        <v>67</v>
      </c>
      <c r="H31" s="23"/>
      <c r="I31" s="52">
        <v>2143</v>
      </c>
      <c r="J31" s="52"/>
      <c r="K31" s="16">
        <v>0</v>
      </c>
      <c r="L31" s="23"/>
    </row>
    <row r="32" spans="1:12" ht="33.75" customHeight="1" x14ac:dyDescent="0.25">
      <c r="A32" s="48" t="s">
        <v>23</v>
      </c>
      <c r="B32" s="46" t="s">
        <v>39</v>
      </c>
      <c r="C32" s="523" t="s">
        <v>68</v>
      </c>
      <c r="D32" s="524"/>
      <c r="E32" s="524"/>
      <c r="F32" s="524"/>
      <c r="G32" s="524"/>
      <c r="H32" s="524"/>
      <c r="I32" s="524"/>
      <c r="J32" s="524"/>
      <c r="K32" s="524"/>
      <c r="L32" s="525"/>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69</v>
      </c>
      <c r="D35" s="521"/>
      <c r="E35" s="520" t="s">
        <v>69</v>
      </c>
      <c r="F35" s="521"/>
      <c r="G35" s="520" t="s">
        <v>69</v>
      </c>
      <c r="H35" s="521"/>
      <c r="I35" s="520" t="s">
        <v>69</v>
      </c>
      <c r="J35" s="521"/>
      <c r="K35" s="520" t="s">
        <v>69</v>
      </c>
      <c r="L35" s="521"/>
    </row>
    <row r="36" spans="1:13" ht="31.9" customHeight="1" x14ac:dyDescent="0.25">
      <c r="A36" s="39">
        <v>8</v>
      </c>
      <c r="B36" s="36" t="s">
        <v>4</v>
      </c>
      <c r="C36" s="515" t="s">
        <v>70</v>
      </c>
      <c r="D36" s="516"/>
      <c r="E36" s="516"/>
      <c r="F36" s="516"/>
      <c r="G36" s="516"/>
      <c r="H36" s="516"/>
      <c r="I36" s="516"/>
      <c r="J36" s="517"/>
      <c r="K36" s="518" t="s">
        <v>71</v>
      </c>
      <c r="L36" s="519"/>
    </row>
    <row r="37" spans="1:13" ht="15.75" thickBot="1" x14ac:dyDescent="0.3">
      <c r="A37" s="62">
        <v>9</v>
      </c>
      <c r="B37" s="37" t="s">
        <v>44</v>
      </c>
      <c r="C37" s="486" t="s">
        <v>61</v>
      </c>
      <c r="D37" s="487"/>
      <c r="E37" s="490" t="s">
        <v>61</v>
      </c>
      <c r="F37" s="487"/>
      <c r="G37" s="490" t="s">
        <v>62</v>
      </c>
      <c r="H37" s="487"/>
      <c r="I37" s="490" t="s">
        <v>61</v>
      </c>
      <c r="J37" s="487"/>
      <c r="K37" s="490" t="s">
        <v>62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2">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C36:J36"/>
    <mergeCell ref="K36:L36"/>
    <mergeCell ref="C37:D37"/>
    <mergeCell ref="E37:F37"/>
    <mergeCell ref="G37:H37"/>
    <mergeCell ref="I37:J37"/>
    <mergeCell ref="K37:L37"/>
  </mergeCells>
  <pageMargins left="0.7" right="0.7" top="0.75" bottom="0.75" header="0.3" footer="0.3"/>
  <pageSetup scale="54" orientation="landscape"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5"/>
  <sheetViews>
    <sheetView topLeftCell="B1" workbookViewId="0">
      <selection activeCell="R27" sqref="R27"/>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253</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473"/>
      <c r="D12" s="47"/>
      <c r="E12" s="473">
        <v>1659000</v>
      </c>
      <c r="F12" s="47">
        <v>0</v>
      </c>
      <c r="G12" s="473">
        <v>7798000</v>
      </c>
      <c r="H12" s="47">
        <v>0</v>
      </c>
      <c r="I12" s="473">
        <v>9178000</v>
      </c>
      <c r="J12" s="47">
        <v>0</v>
      </c>
      <c r="K12" s="473">
        <v>51515000</v>
      </c>
      <c r="L12" s="47">
        <v>0</v>
      </c>
    </row>
    <row r="13" spans="1:13" ht="36.75" customHeight="1" x14ac:dyDescent="0.25">
      <c r="A13" s="48" t="s">
        <v>16</v>
      </c>
      <c r="B13" s="30" t="s">
        <v>31</v>
      </c>
      <c r="C13" s="66"/>
      <c r="D13" s="43"/>
      <c r="E13" s="66">
        <f>+E12/1172000</f>
        <v>1.4155290102389078</v>
      </c>
      <c r="F13" s="43"/>
      <c r="G13" s="66">
        <f>+G12/31226000</f>
        <v>0.24972779094344458</v>
      </c>
      <c r="H13" s="43"/>
      <c r="I13" s="66">
        <f>+I12/6840000</f>
        <v>1.341812865497076</v>
      </c>
      <c r="J13" s="43"/>
      <c r="K13" s="66">
        <f>+K12/14866000</f>
        <v>3.465289923314947</v>
      </c>
      <c r="L13" s="43"/>
    </row>
    <row r="14" spans="1:13" ht="7.5" customHeight="1" x14ac:dyDescent="0.25">
      <c r="A14" s="29"/>
      <c r="B14" s="408"/>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v>0</v>
      </c>
      <c r="D16" s="11">
        <v>0</v>
      </c>
      <c r="E16" s="65">
        <v>0</v>
      </c>
      <c r="F16" s="11">
        <v>0</v>
      </c>
      <c r="G16" s="65">
        <v>0</v>
      </c>
      <c r="H16" s="11">
        <v>0</v>
      </c>
      <c r="I16" s="65">
        <v>0</v>
      </c>
      <c r="J16" s="11">
        <v>0</v>
      </c>
      <c r="K16" s="65">
        <v>0</v>
      </c>
      <c r="L16" s="11">
        <v>0</v>
      </c>
    </row>
    <row r="17" spans="1:12" ht="36" customHeight="1" x14ac:dyDescent="0.25">
      <c r="A17" s="48" t="s">
        <v>17</v>
      </c>
      <c r="B17" s="30" t="s">
        <v>30</v>
      </c>
      <c r="C17" s="17"/>
      <c r="D17" s="6"/>
      <c r="E17" s="18"/>
      <c r="F17" s="6"/>
      <c r="G17" s="18"/>
      <c r="H17" s="6"/>
      <c r="I17" s="18"/>
      <c r="J17" s="6"/>
      <c r="K17" s="18"/>
      <c r="L17" s="6"/>
    </row>
    <row r="18" spans="1:12" ht="18" customHeight="1" x14ac:dyDescent="0.25">
      <c r="A18" s="40">
        <v>3</v>
      </c>
      <c r="B18" s="31" t="s">
        <v>12</v>
      </c>
      <c r="C18" s="19">
        <v>0</v>
      </c>
      <c r="D18" s="12">
        <v>0</v>
      </c>
      <c r="E18" s="20">
        <v>0</v>
      </c>
      <c r="F18" s="12">
        <v>0</v>
      </c>
      <c r="G18" s="20">
        <v>0</v>
      </c>
      <c r="H18" s="12">
        <v>0</v>
      </c>
      <c r="I18" s="20">
        <v>0</v>
      </c>
      <c r="J18" s="12">
        <v>0</v>
      </c>
      <c r="K18" s="20">
        <v>0</v>
      </c>
      <c r="L18" s="12">
        <v>0</v>
      </c>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408"/>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16">
        <v>0</v>
      </c>
      <c r="D25" s="23">
        <v>0</v>
      </c>
      <c r="E25" s="16">
        <v>0</v>
      </c>
      <c r="F25" s="23">
        <v>0</v>
      </c>
      <c r="G25" s="16">
        <v>0</v>
      </c>
      <c r="H25" s="23">
        <v>0</v>
      </c>
      <c r="I25" s="16">
        <v>0</v>
      </c>
      <c r="J25" s="23">
        <v>0</v>
      </c>
      <c r="K25" s="16">
        <v>0</v>
      </c>
      <c r="L25" s="11">
        <v>0</v>
      </c>
    </row>
    <row r="26" spans="1:12" ht="19.5" customHeight="1" x14ac:dyDescent="0.25">
      <c r="A26" s="48" t="s">
        <v>19</v>
      </c>
      <c r="B26" s="30" t="s">
        <v>0</v>
      </c>
      <c r="C26" s="17"/>
      <c r="D26" s="24"/>
      <c r="E26" s="17"/>
      <c r="F26" s="24"/>
      <c r="G26" s="17"/>
      <c r="H26" s="24"/>
      <c r="I26" s="17"/>
      <c r="J26" s="24"/>
      <c r="K26" s="17"/>
      <c r="L26" s="6"/>
    </row>
    <row r="27" spans="1:12" ht="39.75" customHeight="1" x14ac:dyDescent="0.25">
      <c r="A27" s="40">
        <v>5</v>
      </c>
      <c r="B27" s="45" t="s">
        <v>38</v>
      </c>
      <c r="C27" s="21">
        <v>0</v>
      </c>
      <c r="D27" s="25">
        <v>0</v>
      </c>
      <c r="E27" s="21">
        <v>0</v>
      </c>
      <c r="F27" s="25">
        <v>0</v>
      </c>
      <c r="G27" s="21">
        <v>0</v>
      </c>
      <c r="H27" s="25">
        <v>0</v>
      </c>
      <c r="I27" s="21">
        <v>0</v>
      </c>
      <c r="J27" s="25">
        <v>0</v>
      </c>
      <c r="K27" s="21">
        <v>0</v>
      </c>
      <c r="L27" s="5">
        <v>0</v>
      </c>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28">
        <v>0</v>
      </c>
      <c r="D31" s="23">
        <v>0</v>
      </c>
      <c r="E31" s="16">
        <v>0</v>
      </c>
      <c r="F31" s="23">
        <v>0</v>
      </c>
      <c r="G31" s="16">
        <v>0</v>
      </c>
      <c r="H31" s="23">
        <v>0</v>
      </c>
      <c r="I31" s="16">
        <v>0</v>
      </c>
      <c r="J31" s="23">
        <v>0</v>
      </c>
      <c r="K31" s="16">
        <v>0</v>
      </c>
      <c r="L31" s="23">
        <v>0</v>
      </c>
    </row>
    <row r="32" spans="1:12"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08"/>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238</v>
      </c>
      <c r="D35" s="521"/>
      <c r="E35" s="526" t="s">
        <v>238</v>
      </c>
      <c r="F35" s="521"/>
      <c r="G35" s="526" t="s">
        <v>238</v>
      </c>
      <c r="H35" s="521"/>
      <c r="I35" s="526" t="s">
        <v>238</v>
      </c>
      <c r="J35" s="521"/>
      <c r="K35" s="526" t="s">
        <v>238</v>
      </c>
      <c r="L35" s="521"/>
    </row>
    <row r="36" spans="1:13" x14ac:dyDescent="0.25">
      <c r="A36" s="39">
        <v>8</v>
      </c>
      <c r="B36" s="36" t="s">
        <v>4</v>
      </c>
      <c r="C36" s="673"/>
      <c r="D36" s="672"/>
      <c r="E36" s="671"/>
      <c r="F36" s="672"/>
      <c r="G36" s="671"/>
      <c r="H36" s="672"/>
      <c r="I36" s="671"/>
      <c r="J36" s="672"/>
      <c r="K36" s="671"/>
      <c r="L36" s="672"/>
    </row>
    <row r="37" spans="1:13" ht="15.75" thickBot="1" x14ac:dyDescent="0.3">
      <c r="A37" s="407">
        <v>9</v>
      </c>
      <c r="B37" s="37" t="s">
        <v>44</v>
      </c>
      <c r="C37" s="486" t="s">
        <v>62</v>
      </c>
      <c r="D37" s="487"/>
      <c r="E37" s="490" t="s">
        <v>61</v>
      </c>
      <c r="F37" s="487"/>
      <c r="G37" s="490" t="s">
        <v>62</v>
      </c>
      <c r="H37" s="487"/>
      <c r="I37" s="490" t="s">
        <v>61</v>
      </c>
      <c r="J37" s="487"/>
      <c r="K37" s="490" t="s">
        <v>252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08"/>
    </row>
    <row r="42" spans="1:13" x14ac:dyDescent="0.25">
      <c r="B42" s="408"/>
    </row>
    <row r="43" spans="1:13" x14ac:dyDescent="0.25">
      <c r="B43" s="408"/>
    </row>
    <row r="44" spans="1:13" x14ac:dyDescent="0.25">
      <c r="B44" s="408"/>
    </row>
    <row r="45" spans="1:13" x14ac:dyDescent="0.25">
      <c r="B45" s="408"/>
    </row>
  </sheetData>
  <mergeCells count="35">
    <mergeCell ref="B38:L38"/>
    <mergeCell ref="B39:L39"/>
    <mergeCell ref="B40:L40"/>
    <mergeCell ref="C36:D36"/>
    <mergeCell ref="E36:F36"/>
    <mergeCell ref="G36:H36"/>
    <mergeCell ref="I36:J36"/>
    <mergeCell ref="K36:L36"/>
    <mergeCell ref="C37:D37"/>
    <mergeCell ref="E37:F37"/>
    <mergeCell ref="G37:H37"/>
    <mergeCell ref="I37:J37"/>
    <mergeCell ref="K37:L37"/>
    <mergeCell ref="A15:B15"/>
    <mergeCell ref="A24:B24"/>
    <mergeCell ref="C30:L30"/>
    <mergeCell ref="G35:H35"/>
    <mergeCell ref="I35:J35"/>
    <mergeCell ref="K35:L35"/>
    <mergeCell ref="C32:L32"/>
    <mergeCell ref="A34:B34"/>
    <mergeCell ref="C35:D35"/>
    <mergeCell ref="E35:F35"/>
    <mergeCell ref="B1:L1"/>
    <mergeCell ref="B2:L2"/>
    <mergeCell ref="B4:L4"/>
    <mergeCell ref="C6:L6"/>
    <mergeCell ref="A8:A9"/>
    <mergeCell ref="B8:B9"/>
    <mergeCell ref="C8:D8"/>
    <mergeCell ref="E8:F8"/>
    <mergeCell ref="G8:H8"/>
    <mergeCell ref="I8:J8"/>
    <mergeCell ref="K8:L8"/>
    <mergeCell ref="A11:B11"/>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80" zoomScaleNormal="80" workbookViewId="0">
      <selection activeCell="C42" sqref="C42"/>
    </sheetView>
  </sheetViews>
  <sheetFormatPr defaultRowHeight="15" x14ac:dyDescent="0.25"/>
  <cols>
    <col min="1" max="1" width="5.5703125" customWidth="1"/>
    <col min="2" max="2" width="52.140625" customWidth="1"/>
    <col min="3" max="3" width="13.7109375" customWidth="1"/>
    <col min="4" max="4" width="19.7109375" customWidth="1"/>
    <col min="5" max="5" width="13.85546875" customWidth="1"/>
    <col min="6" max="7" width="13.7109375" customWidth="1"/>
    <col min="8" max="9" width="13.5703125" customWidth="1"/>
    <col min="10" max="10" width="14.140625" customWidth="1"/>
    <col min="11" max="12" width="13.7109375" customWidth="1"/>
    <col min="15" max="15" width="10.28515625" bestFit="1" customWidth="1"/>
  </cols>
  <sheetData>
    <row r="1" spans="1:15" x14ac:dyDescent="0.25">
      <c r="B1" s="497" t="s">
        <v>9</v>
      </c>
      <c r="C1" s="497"/>
      <c r="D1" s="497"/>
      <c r="E1" s="497"/>
      <c r="F1" s="497"/>
      <c r="G1" s="497"/>
      <c r="H1" s="497"/>
      <c r="I1" s="497"/>
      <c r="J1" s="497"/>
      <c r="K1" s="497"/>
      <c r="L1" s="497"/>
    </row>
    <row r="2" spans="1:15" x14ac:dyDescent="0.25">
      <c r="B2" s="497" t="s">
        <v>10</v>
      </c>
      <c r="C2" s="497"/>
      <c r="D2" s="497"/>
      <c r="E2" s="497"/>
      <c r="F2" s="497"/>
      <c r="G2" s="497"/>
      <c r="H2" s="497"/>
      <c r="I2" s="497"/>
      <c r="J2" s="497"/>
      <c r="K2" s="497"/>
      <c r="L2" s="497"/>
    </row>
    <row r="3" spans="1:15" ht="8.25" customHeight="1" x14ac:dyDescent="0.25">
      <c r="B3" s="1"/>
      <c r="C3" s="1"/>
      <c r="D3" s="1"/>
      <c r="E3" s="1"/>
      <c r="F3" s="1"/>
      <c r="G3" s="1"/>
      <c r="H3" s="1"/>
      <c r="I3" s="1"/>
      <c r="J3" s="1"/>
      <c r="K3" s="1"/>
      <c r="L3" s="1"/>
    </row>
    <row r="4" spans="1:15" x14ac:dyDescent="0.25">
      <c r="B4" s="498" t="s">
        <v>36</v>
      </c>
      <c r="C4" s="498"/>
      <c r="D4" s="498"/>
      <c r="E4" s="498"/>
      <c r="F4" s="498"/>
      <c r="G4" s="498"/>
      <c r="H4" s="498"/>
      <c r="I4" s="498"/>
      <c r="J4" s="498"/>
      <c r="K4" s="498"/>
      <c r="L4" s="498"/>
    </row>
    <row r="5" spans="1:15" x14ac:dyDescent="0.25">
      <c r="B5" s="13"/>
      <c r="C5" s="13"/>
      <c r="D5" s="13"/>
      <c r="E5" s="13"/>
      <c r="F5" s="13"/>
      <c r="G5" s="13"/>
      <c r="H5" s="13"/>
      <c r="I5" s="13"/>
      <c r="J5" s="13"/>
      <c r="K5" s="13"/>
      <c r="L5" s="13"/>
    </row>
    <row r="6" spans="1:15" x14ac:dyDescent="0.25">
      <c r="B6" s="15" t="s">
        <v>11</v>
      </c>
      <c r="C6" s="499" t="s">
        <v>254</v>
      </c>
      <c r="D6" s="499"/>
      <c r="E6" s="499"/>
      <c r="F6" s="499"/>
      <c r="G6" s="499"/>
      <c r="H6" s="499"/>
      <c r="I6" s="499"/>
      <c r="J6" s="499"/>
      <c r="K6" s="499"/>
      <c r="L6" s="500"/>
    </row>
    <row r="7" spans="1:15" ht="15.75" thickBot="1" x14ac:dyDescent="0.3"/>
    <row r="8" spans="1:15" x14ac:dyDescent="0.25">
      <c r="A8" s="507" t="s">
        <v>24</v>
      </c>
      <c r="B8" s="513" t="s">
        <v>8</v>
      </c>
      <c r="C8" s="501">
        <v>2012</v>
      </c>
      <c r="D8" s="502"/>
      <c r="E8" s="503">
        <v>2013</v>
      </c>
      <c r="F8" s="502"/>
      <c r="G8" s="503">
        <v>2014</v>
      </c>
      <c r="H8" s="502"/>
      <c r="I8" s="503">
        <v>2015</v>
      </c>
      <c r="J8" s="502"/>
      <c r="K8" s="501">
        <v>2016</v>
      </c>
      <c r="L8" s="502"/>
    </row>
    <row r="9" spans="1:15"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5" ht="7.5" customHeight="1" x14ac:dyDescent="0.25">
      <c r="C10" s="2"/>
      <c r="D10" s="2"/>
      <c r="E10" s="2"/>
      <c r="F10" s="2"/>
      <c r="G10" s="2"/>
      <c r="H10" s="2"/>
      <c r="I10" s="2"/>
      <c r="J10" s="2"/>
      <c r="K10" s="2"/>
      <c r="L10" s="2"/>
      <c r="M10" s="2"/>
    </row>
    <row r="11" spans="1:15" x14ac:dyDescent="0.25">
      <c r="A11" s="511" t="s">
        <v>7</v>
      </c>
      <c r="B11" s="512"/>
      <c r="C11" s="10"/>
      <c r="D11" s="8"/>
      <c r="E11" s="7"/>
      <c r="F11" s="8"/>
      <c r="G11" s="7"/>
      <c r="H11" s="8"/>
      <c r="I11" s="7"/>
      <c r="J11" s="8"/>
      <c r="K11" s="7"/>
      <c r="L11" s="9"/>
    </row>
    <row r="12" spans="1:15" ht="35.25" customHeight="1" x14ac:dyDescent="0.25">
      <c r="A12" s="40">
        <v>1</v>
      </c>
      <c r="B12" s="31" t="s">
        <v>6</v>
      </c>
      <c r="C12" s="16"/>
      <c r="D12" s="413">
        <v>33991000</v>
      </c>
      <c r="E12" s="65"/>
      <c r="F12" s="413">
        <v>29109000</v>
      </c>
      <c r="G12" s="414" t="s">
        <v>255</v>
      </c>
      <c r="H12" s="413">
        <v>47406000</v>
      </c>
      <c r="I12" s="414">
        <v>24155000</v>
      </c>
      <c r="J12" s="413">
        <v>50676000</v>
      </c>
      <c r="K12" s="414">
        <v>26284000</v>
      </c>
      <c r="L12" s="413">
        <v>56614000</v>
      </c>
      <c r="O12" s="415"/>
    </row>
    <row r="13" spans="1:15" ht="36.75" customHeight="1" x14ac:dyDescent="0.25">
      <c r="A13" s="48" t="s">
        <v>16</v>
      </c>
      <c r="B13" s="30" t="s">
        <v>31</v>
      </c>
      <c r="C13" s="17"/>
      <c r="D13" s="43"/>
      <c r="E13" s="18"/>
      <c r="F13" s="43"/>
      <c r="G13" s="18"/>
      <c r="H13" s="43"/>
      <c r="I13" s="18"/>
      <c r="J13" s="43"/>
      <c r="K13" s="18"/>
      <c r="L13" s="43"/>
      <c r="O13" s="415"/>
    </row>
    <row r="14" spans="1:15" ht="7.5" customHeight="1" x14ac:dyDescent="0.25">
      <c r="A14" s="29"/>
      <c r="B14" s="472"/>
    </row>
    <row r="15" spans="1:15" x14ac:dyDescent="0.25">
      <c r="A15" s="509" t="s">
        <v>1</v>
      </c>
      <c r="B15" s="510"/>
      <c r="C15" s="10"/>
      <c r="D15" s="8"/>
      <c r="E15" s="7"/>
      <c r="F15" s="8"/>
      <c r="G15" s="7"/>
      <c r="H15" s="8"/>
      <c r="I15" s="7"/>
      <c r="J15" s="8"/>
      <c r="K15" s="7"/>
      <c r="L15" s="9"/>
    </row>
    <row r="16" spans="1:15" ht="33" customHeight="1" x14ac:dyDescent="0.25">
      <c r="A16" s="40">
        <v>2</v>
      </c>
      <c r="B16" s="31" t="s">
        <v>5</v>
      </c>
      <c r="C16" s="16"/>
      <c r="D16" s="413">
        <v>316362</v>
      </c>
      <c r="E16" s="65"/>
      <c r="F16" s="413">
        <f>4139902-29355</f>
        <v>4110547</v>
      </c>
      <c r="G16" s="65"/>
      <c r="H16" s="413">
        <v>4193892.37</v>
      </c>
      <c r="I16" s="65"/>
      <c r="J16" s="413">
        <v>5017620</v>
      </c>
      <c r="K16" s="65"/>
      <c r="L16" s="479">
        <v>5862672</v>
      </c>
    </row>
    <row r="17" spans="1:17" ht="36" customHeight="1" x14ac:dyDescent="0.25">
      <c r="A17" s="48" t="s">
        <v>17</v>
      </c>
      <c r="B17" s="30" t="s">
        <v>30</v>
      </c>
      <c r="C17" s="17"/>
      <c r="D17" s="6" t="s">
        <v>256</v>
      </c>
      <c r="E17" s="18"/>
      <c r="F17" s="208" t="s">
        <v>257</v>
      </c>
      <c r="G17" s="18"/>
      <c r="H17" s="208" t="s">
        <v>257</v>
      </c>
      <c r="I17" s="18"/>
      <c r="J17" s="208" t="s">
        <v>257</v>
      </c>
      <c r="K17" s="18"/>
      <c r="L17" s="208" t="s">
        <v>258</v>
      </c>
      <c r="O17" s="415"/>
    </row>
    <row r="18" spans="1:17" ht="18" customHeight="1" x14ac:dyDescent="0.25">
      <c r="A18" s="40">
        <v>3</v>
      </c>
      <c r="B18" s="31" t="s">
        <v>12</v>
      </c>
      <c r="C18" s="19"/>
      <c r="D18" s="480">
        <v>316362</v>
      </c>
      <c r="E18" s="20"/>
      <c r="F18" s="480">
        <f>D18+F16</f>
        <v>4426909</v>
      </c>
      <c r="G18" s="20"/>
      <c r="H18" s="480">
        <f>F18+H16</f>
        <v>8620801.370000001</v>
      </c>
      <c r="I18" s="20"/>
      <c r="J18" s="480">
        <f>H18+J16</f>
        <v>13638421.370000001</v>
      </c>
      <c r="K18" s="20"/>
      <c r="L18" s="480">
        <f>J18+L16</f>
        <v>19501093.370000001</v>
      </c>
      <c r="Q18" s="415"/>
    </row>
    <row r="19" spans="1:17" ht="36" customHeight="1" x14ac:dyDescent="0.25">
      <c r="A19" s="49" t="s">
        <v>37</v>
      </c>
      <c r="B19" s="32" t="s">
        <v>35</v>
      </c>
      <c r="C19" s="19"/>
      <c r="D19" s="12"/>
      <c r="E19" s="20"/>
      <c r="F19" s="12"/>
      <c r="G19" s="20"/>
      <c r="H19" s="12"/>
      <c r="I19" s="20"/>
      <c r="J19" s="12"/>
      <c r="K19" s="20"/>
      <c r="L19" s="480"/>
      <c r="O19" s="415"/>
    </row>
    <row r="20" spans="1:17" ht="18" customHeight="1" x14ac:dyDescent="0.25">
      <c r="A20" s="50" t="s">
        <v>41</v>
      </c>
      <c r="B20" s="32" t="s">
        <v>26</v>
      </c>
      <c r="C20" s="19"/>
      <c r="D20" s="12"/>
      <c r="E20" s="20"/>
      <c r="F20" s="12"/>
      <c r="G20" s="20"/>
      <c r="H20" s="12"/>
      <c r="I20" s="20"/>
      <c r="J20" s="12"/>
      <c r="K20" s="20"/>
      <c r="L20" s="12"/>
    </row>
    <row r="21" spans="1:17" ht="33" customHeight="1" x14ac:dyDescent="0.25">
      <c r="A21" s="50" t="s">
        <v>18</v>
      </c>
      <c r="B21" s="32" t="s">
        <v>28</v>
      </c>
      <c r="C21" s="19"/>
      <c r="D21" s="12"/>
      <c r="E21" s="20"/>
      <c r="F21" s="12"/>
      <c r="G21" s="20"/>
      <c r="H21" s="12"/>
      <c r="I21" s="20"/>
      <c r="J21" s="12"/>
      <c r="K21" s="20"/>
      <c r="L21" s="12"/>
    </row>
    <row r="22" spans="1:17" ht="18.75" customHeight="1" x14ac:dyDescent="0.25">
      <c r="A22" s="51" t="s">
        <v>25</v>
      </c>
      <c r="B22" s="30" t="s">
        <v>29</v>
      </c>
      <c r="C22" s="17"/>
      <c r="D22" s="6"/>
      <c r="E22" s="18"/>
      <c r="F22" s="6"/>
      <c r="G22" s="18"/>
      <c r="H22" s="6"/>
      <c r="I22" s="18"/>
      <c r="J22" s="6"/>
      <c r="K22" s="18"/>
      <c r="L22" s="6"/>
    </row>
    <row r="23" spans="1:17" ht="7.5" customHeight="1" x14ac:dyDescent="0.25">
      <c r="A23" s="29"/>
      <c r="B23" s="472"/>
    </row>
    <row r="24" spans="1:17" x14ac:dyDescent="0.25">
      <c r="A24" s="509" t="s">
        <v>13</v>
      </c>
      <c r="B24" s="510"/>
      <c r="C24" s="10"/>
      <c r="D24" s="10"/>
      <c r="E24" s="10"/>
      <c r="F24" s="10"/>
      <c r="G24" s="10"/>
      <c r="H24" s="10"/>
      <c r="I24" s="10"/>
      <c r="J24" s="10"/>
      <c r="K24" s="10"/>
      <c r="L24" s="8"/>
    </row>
    <row r="25" spans="1:17" ht="19.5" customHeight="1" x14ac:dyDescent="0.25">
      <c r="A25" s="40">
        <v>4</v>
      </c>
      <c r="B25" s="44" t="s">
        <v>40</v>
      </c>
      <c r="C25" s="16"/>
      <c r="D25" s="413">
        <v>316362</v>
      </c>
      <c r="E25" s="65"/>
      <c r="F25" s="413">
        <f>4139902-29355</f>
        <v>4110547</v>
      </c>
      <c r="G25" s="65"/>
      <c r="H25" s="413">
        <v>4193892.37</v>
      </c>
      <c r="I25" s="65"/>
      <c r="J25" s="413">
        <v>5017620</v>
      </c>
      <c r="K25" s="65"/>
      <c r="L25" s="479">
        <v>5862672</v>
      </c>
    </row>
    <row r="26" spans="1:17" ht="19.5" customHeight="1" x14ac:dyDescent="0.25">
      <c r="A26" s="48" t="s">
        <v>19</v>
      </c>
      <c r="B26" s="30" t="s">
        <v>0</v>
      </c>
      <c r="C26" s="17"/>
      <c r="D26" s="6" t="s">
        <v>256</v>
      </c>
      <c r="E26" s="18"/>
      <c r="F26" s="208" t="s">
        <v>257</v>
      </c>
      <c r="G26" s="18"/>
      <c r="H26" s="208" t="s">
        <v>257</v>
      </c>
      <c r="I26" s="18"/>
      <c r="J26" s="208" t="s">
        <v>257</v>
      </c>
      <c r="K26" s="18"/>
      <c r="L26" s="208" t="s">
        <v>258</v>
      </c>
    </row>
    <row r="27" spans="1:17" ht="39.75" customHeight="1" x14ac:dyDescent="0.25">
      <c r="A27" s="40">
        <v>5</v>
      </c>
      <c r="B27" s="45" t="s">
        <v>38</v>
      </c>
      <c r="C27" s="21"/>
      <c r="D27" s="25"/>
      <c r="E27" s="21"/>
      <c r="F27" s="25"/>
      <c r="G27" s="21"/>
      <c r="H27" s="25"/>
      <c r="I27" s="21"/>
      <c r="J27" s="25"/>
      <c r="K27" s="21"/>
      <c r="L27" s="5"/>
    </row>
    <row r="28" spans="1:17" ht="48" customHeight="1" x14ac:dyDescent="0.25">
      <c r="A28" s="49" t="s">
        <v>20</v>
      </c>
      <c r="B28" s="34" t="s">
        <v>42</v>
      </c>
      <c r="C28" s="22"/>
      <c r="D28" s="26"/>
      <c r="E28" s="22"/>
      <c r="F28" s="26"/>
      <c r="G28" s="22"/>
      <c r="H28" s="26"/>
      <c r="I28" s="22"/>
      <c r="J28" s="26"/>
      <c r="K28" s="22"/>
      <c r="L28" s="27"/>
    </row>
    <row r="29" spans="1:17" ht="36" customHeight="1" x14ac:dyDescent="0.25">
      <c r="A29" s="49" t="s">
        <v>21</v>
      </c>
      <c r="B29" s="34" t="s">
        <v>34</v>
      </c>
      <c r="C29" s="22"/>
      <c r="D29" s="26"/>
      <c r="E29" s="22"/>
      <c r="F29" s="26"/>
      <c r="G29" s="22"/>
      <c r="H29" s="26"/>
      <c r="I29" s="22"/>
      <c r="J29" s="26"/>
      <c r="K29" s="22"/>
      <c r="L29" s="27"/>
    </row>
    <row r="30" spans="1:17" ht="66" customHeight="1" x14ac:dyDescent="0.25">
      <c r="A30" s="48" t="s">
        <v>22</v>
      </c>
      <c r="B30" s="35" t="s">
        <v>15</v>
      </c>
      <c r="C30" s="522"/>
      <c r="D30" s="505"/>
      <c r="E30" s="505"/>
      <c r="F30" s="505"/>
      <c r="G30" s="505"/>
      <c r="H30" s="505"/>
      <c r="I30" s="505"/>
      <c r="J30" s="505"/>
      <c r="K30" s="505"/>
      <c r="L30" s="506"/>
    </row>
    <row r="31" spans="1:17" ht="18" customHeight="1" x14ac:dyDescent="0.25">
      <c r="A31" s="40">
        <v>6</v>
      </c>
      <c r="B31" s="33" t="s">
        <v>14</v>
      </c>
      <c r="C31" s="28"/>
      <c r="D31" s="23"/>
      <c r="E31" s="16"/>
      <c r="F31" s="23"/>
      <c r="G31" s="16"/>
      <c r="H31" s="23"/>
      <c r="I31" s="16"/>
      <c r="J31" s="23"/>
      <c r="K31" s="16"/>
      <c r="L31" s="23"/>
    </row>
    <row r="32" spans="1:17" ht="33.75" customHeight="1" x14ac:dyDescent="0.25">
      <c r="A32" s="48" t="s">
        <v>23</v>
      </c>
      <c r="B32" s="46" t="s">
        <v>39</v>
      </c>
      <c r="C32" s="522"/>
      <c r="D32" s="505"/>
      <c r="E32" s="505"/>
      <c r="F32" s="505"/>
      <c r="G32" s="505"/>
      <c r="H32" s="505"/>
      <c r="I32" s="505"/>
      <c r="J32" s="505"/>
      <c r="K32" s="505"/>
      <c r="L32" s="506"/>
    </row>
    <row r="33" spans="1:13" ht="7.5" customHeight="1" x14ac:dyDescent="0.25">
      <c r="A33" s="29"/>
      <c r="B33" s="472"/>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c r="D35" s="521"/>
      <c r="E35" s="520"/>
      <c r="F35" s="521"/>
      <c r="G35" s="520"/>
      <c r="H35" s="521"/>
      <c r="I35" s="520"/>
      <c r="J35" s="521"/>
      <c r="K35" s="520"/>
      <c r="L35" s="521"/>
    </row>
    <row r="36" spans="1:13" x14ac:dyDescent="0.25">
      <c r="A36" s="39">
        <v>8</v>
      </c>
      <c r="B36" s="36" t="s">
        <v>4</v>
      </c>
      <c r="C36" s="673"/>
      <c r="D36" s="672"/>
      <c r="E36" s="671"/>
      <c r="F36" s="672"/>
      <c r="G36" s="671"/>
      <c r="H36" s="672"/>
      <c r="I36" s="671"/>
      <c r="J36" s="672"/>
      <c r="K36" s="671"/>
      <c r="L36" s="672"/>
    </row>
    <row r="37" spans="1:13" ht="15.75" thickBot="1" x14ac:dyDescent="0.3">
      <c r="A37" s="471">
        <v>9</v>
      </c>
      <c r="B37" s="37" t="s">
        <v>44</v>
      </c>
      <c r="C37" s="486"/>
      <c r="D37" s="487"/>
      <c r="E37" s="490" t="s">
        <v>61</v>
      </c>
      <c r="F37" s="487"/>
      <c r="G37" s="490" t="s">
        <v>62</v>
      </c>
      <c r="H37" s="487"/>
      <c r="I37" s="490" t="s">
        <v>61</v>
      </c>
      <c r="J37" s="487"/>
      <c r="K37" s="490" t="s">
        <v>62</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481" t="s">
        <v>259</v>
      </c>
      <c r="C41" s="482"/>
      <c r="D41" s="482"/>
      <c r="E41" s="482"/>
      <c r="F41" s="482"/>
      <c r="G41" s="381"/>
      <c r="H41" s="381"/>
      <c r="I41" s="381"/>
    </row>
    <row r="42" spans="1:13" x14ac:dyDescent="0.25">
      <c r="B42" s="481" t="s">
        <v>260</v>
      </c>
      <c r="C42" s="482"/>
      <c r="D42" s="482"/>
      <c r="E42" s="482"/>
      <c r="F42" s="482"/>
      <c r="G42" s="482"/>
      <c r="H42" s="381"/>
      <c r="I42" s="381"/>
    </row>
    <row r="43" spans="1:13" x14ac:dyDescent="0.25">
      <c r="B43" s="483"/>
    </row>
    <row r="44" spans="1:13" x14ac:dyDescent="0.25">
      <c r="B44" s="472"/>
    </row>
    <row r="45" spans="1:13" x14ac:dyDescent="0.25">
      <c r="B45" s="472"/>
    </row>
  </sheetData>
  <mergeCells count="35">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5" zoomScaleNormal="85" workbookViewId="0">
      <selection activeCell="D42" sqref="D42"/>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534" t="s">
        <v>72</v>
      </c>
      <c r="D6" s="534"/>
      <c r="E6" s="534"/>
      <c r="F6" s="534"/>
      <c r="G6" s="534"/>
      <c r="H6" s="534"/>
      <c r="I6" s="534"/>
      <c r="J6" s="534"/>
      <c r="K6" s="534"/>
      <c r="L6" s="535"/>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76">
        <v>261879000</v>
      </c>
      <c r="D12" s="77">
        <f>-E1</f>
        <v>0</v>
      </c>
      <c r="E12" s="78">
        <v>239003000</v>
      </c>
      <c r="F12" s="79">
        <v>0</v>
      </c>
      <c r="G12" s="78">
        <v>443888000</v>
      </c>
      <c r="H12" s="79">
        <v>0</v>
      </c>
      <c r="I12" s="78">
        <v>403380000</v>
      </c>
      <c r="J12" s="79">
        <v>0</v>
      </c>
      <c r="K12" s="78">
        <v>481398000</v>
      </c>
      <c r="L12" s="79">
        <v>0</v>
      </c>
    </row>
    <row r="13" spans="1:13" ht="36.75" customHeight="1" x14ac:dyDescent="0.25">
      <c r="A13" s="48" t="s">
        <v>16</v>
      </c>
      <c r="B13" s="30" t="s">
        <v>31</v>
      </c>
      <c r="C13" s="80">
        <f>C12/227740000</f>
        <v>1.1499033986124527</v>
      </c>
      <c r="D13" s="43"/>
      <c r="E13" s="80">
        <f>E12/196168000</f>
        <v>1.2183587537213001</v>
      </c>
      <c r="F13" s="43"/>
      <c r="G13" s="80">
        <f>G12/386024000</f>
        <v>1.149897415704723</v>
      </c>
      <c r="H13" s="43"/>
      <c r="I13" s="80">
        <f>I12/343231000</f>
        <v>1.1752434949057631</v>
      </c>
      <c r="J13" s="43"/>
      <c r="K13" s="80">
        <f>K12/419154000</f>
        <v>1.1484991196553056</v>
      </c>
      <c r="L13" s="43"/>
    </row>
    <row r="14" spans="1:13" ht="7.5" customHeight="1" x14ac:dyDescent="0.25">
      <c r="A14" s="29"/>
      <c r="B14" s="3"/>
    </row>
    <row r="15" spans="1:13" x14ac:dyDescent="0.25">
      <c r="A15" s="509" t="s">
        <v>1</v>
      </c>
      <c r="B15" s="510"/>
      <c r="C15" s="10"/>
      <c r="D15" s="8"/>
      <c r="E15" s="7"/>
      <c r="F15" s="8"/>
      <c r="G15" s="7"/>
      <c r="H15" s="8"/>
      <c r="I15" s="7"/>
      <c r="J15" s="8"/>
      <c r="K15" s="7"/>
      <c r="L15" s="9"/>
    </row>
    <row r="16" spans="1:13" ht="33" customHeight="1" x14ac:dyDescent="0.25">
      <c r="A16" s="40">
        <v>2</v>
      </c>
      <c r="B16" s="31" t="s">
        <v>5</v>
      </c>
      <c r="C16" s="76">
        <v>4785000</v>
      </c>
      <c r="D16" s="81"/>
      <c r="E16" s="76">
        <v>4988000</v>
      </c>
      <c r="F16" s="81"/>
      <c r="G16" s="76">
        <v>5615000</v>
      </c>
      <c r="H16" s="81"/>
      <c r="I16" s="76">
        <v>7294000</v>
      </c>
      <c r="J16" s="81"/>
      <c r="K16" s="76">
        <v>8444000</v>
      </c>
      <c r="L16" s="11"/>
    </row>
    <row r="17" spans="1:12" ht="36" customHeight="1" x14ac:dyDescent="0.25">
      <c r="A17" s="48" t="s">
        <v>17</v>
      </c>
      <c r="B17" s="30" t="s">
        <v>30</v>
      </c>
      <c r="C17" s="80">
        <f>C16/94165511</f>
        <v>5.0814782919831443E-2</v>
      </c>
      <c r="D17" s="6"/>
      <c r="E17" s="80">
        <f>E16/98376960</f>
        <v>5.0702928815852817E-2</v>
      </c>
      <c r="F17" s="6"/>
      <c r="G17" s="80">
        <f>G16/92720960</f>
        <v>6.0558044265288019E-2</v>
      </c>
      <c r="H17" s="6"/>
      <c r="I17" s="80">
        <f>I16/94261095</f>
        <v>7.7380811245615175E-2</v>
      </c>
      <c r="J17" s="6"/>
      <c r="K17" s="80">
        <f>K16/91402472</f>
        <v>9.2382621774168214E-2</v>
      </c>
      <c r="L17" s="6"/>
    </row>
    <row r="18" spans="1:12" ht="18" customHeight="1" x14ac:dyDescent="0.25">
      <c r="A18" s="40">
        <v>3</v>
      </c>
      <c r="B18" s="31" t="s">
        <v>12</v>
      </c>
      <c r="C18" s="82">
        <v>0</v>
      </c>
      <c r="D18" s="83"/>
      <c r="E18" s="84">
        <v>0</v>
      </c>
      <c r="F18" s="83"/>
      <c r="G18" s="84">
        <v>0</v>
      </c>
      <c r="H18" s="83"/>
      <c r="I18" s="84">
        <v>0</v>
      </c>
      <c r="J18" s="83"/>
      <c r="K18" s="84">
        <v>0</v>
      </c>
      <c r="L18" s="12"/>
    </row>
    <row r="19" spans="1:12" ht="36" customHeight="1" x14ac:dyDescent="0.25">
      <c r="A19" s="49" t="s">
        <v>37</v>
      </c>
      <c r="B19" s="32" t="s">
        <v>35</v>
      </c>
      <c r="C19" s="19"/>
      <c r="D19" s="12"/>
      <c r="E19" s="20"/>
      <c r="F19" s="12"/>
      <c r="G19" s="20"/>
      <c r="H19" s="12"/>
      <c r="I19" s="20"/>
      <c r="J19" s="12"/>
      <c r="K19" s="20"/>
      <c r="L19" s="12"/>
    </row>
    <row r="20" spans="1:12" ht="18" customHeight="1" x14ac:dyDescent="0.25">
      <c r="A20" s="50" t="s">
        <v>41</v>
      </c>
      <c r="B20" s="32" t="s">
        <v>26</v>
      </c>
      <c r="C20" s="19"/>
      <c r="D20" s="12"/>
      <c r="E20" s="20"/>
      <c r="F20" s="12"/>
      <c r="G20" s="20"/>
      <c r="H20" s="12"/>
      <c r="I20" s="20"/>
      <c r="J20" s="12"/>
      <c r="K20" s="20"/>
      <c r="L20" s="12"/>
    </row>
    <row r="21" spans="1:12" ht="33" customHeight="1" x14ac:dyDescent="0.25">
      <c r="A21" s="50" t="s">
        <v>18</v>
      </c>
      <c r="B21" s="32" t="s">
        <v>28</v>
      </c>
      <c r="C21" s="19"/>
      <c r="D21" s="12"/>
      <c r="E21" s="20"/>
      <c r="F21" s="12"/>
      <c r="G21" s="20"/>
      <c r="H21" s="12"/>
      <c r="I21" s="20"/>
      <c r="J21" s="12"/>
      <c r="K21" s="20"/>
      <c r="L21" s="12"/>
    </row>
    <row r="22" spans="1:12" ht="18.75" customHeight="1" x14ac:dyDescent="0.25">
      <c r="A22" s="51" t="s">
        <v>25</v>
      </c>
      <c r="B22" s="30" t="s">
        <v>29</v>
      </c>
      <c r="C22" s="17"/>
      <c r="D22" s="6"/>
      <c r="E22" s="18"/>
      <c r="F22" s="6"/>
      <c r="G22" s="18"/>
      <c r="H22" s="6"/>
      <c r="I22" s="18"/>
      <c r="J22" s="6"/>
      <c r="K22" s="18"/>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76">
        <v>0</v>
      </c>
      <c r="D25" s="76"/>
      <c r="E25" s="76">
        <v>0</v>
      </c>
      <c r="F25" s="76"/>
      <c r="G25" s="76">
        <v>0</v>
      </c>
      <c r="H25" s="76"/>
      <c r="I25" s="76">
        <v>0</v>
      </c>
      <c r="J25" s="76"/>
      <c r="K25" s="76">
        <v>0</v>
      </c>
      <c r="L25" s="76"/>
    </row>
    <row r="26" spans="1:12" ht="19.5" customHeight="1" x14ac:dyDescent="0.25">
      <c r="A26" s="48" t="s">
        <v>19</v>
      </c>
      <c r="B26" s="30" t="s">
        <v>0</v>
      </c>
      <c r="C26" s="76"/>
      <c r="D26" s="76"/>
      <c r="E26" s="76"/>
      <c r="F26" s="76"/>
      <c r="G26" s="76"/>
      <c r="H26" s="76"/>
      <c r="I26" s="76"/>
      <c r="J26" s="76"/>
      <c r="K26" s="76"/>
      <c r="L26" s="76"/>
    </row>
    <row r="27" spans="1:12" ht="39.75" customHeight="1" x14ac:dyDescent="0.25">
      <c r="A27" s="40">
        <v>5</v>
      </c>
      <c r="B27" s="45" t="s">
        <v>73</v>
      </c>
      <c r="C27" s="76">
        <v>0</v>
      </c>
      <c r="D27" s="76"/>
      <c r="E27" s="76">
        <v>0</v>
      </c>
      <c r="F27" s="76"/>
      <c r="G27" s="76">
        <v>0</v>
      </c>
      <c r="H27" s="76"/>
      <c r="I27" s="76">
        <v>0</v>
      </c>
      <c r="J27" s="76"/>
      <c r="K27" s="76">
        <v>0</v>
      </c>
      <c r="L27" s="76"/>
    </row>
    <row r="28" spans="1:12" ht="48" customHeight="1" x14ac:dyDescent="0.25">
      <c r="A28" s="49" t="s">
        <v>20</v>
      </c>
      <c r="B28" s="34" t="s">
        <v>42</v>
      </c>
      <c r="C28" s="76"/>
      <c r="D28" s="76"/>
      <c r="E28" s="76"/>
      <c r="F28" s="76"/>
      <c r="G28" s="76"/>
      <c r="H28" s="76"/>
      <c r="I28" s="76"/>
      <c r="J28" s="76"/>
      <c r="K28" s="76"/>
      <c r="L28" s="76"/>
    </row>
    <row r="29" spans="1:12" ht="36" customHeight="1" x14ac:dyDescent="0.25">
      <c r="A29" s="49" t="s">
        <v>21</v>
      </c>
      <c r="B29" s="34" t="s">
        <v>34</v>
      </c>
      <c r="C29" s="76"/>
      <c r="D29" s="76"/>
      <c r="E29" s="76"/>
      <c r="F29" s="76"/>
      <c r="G29" s="76"/>
      <c r="H29" s="76"/>
      <c r="I29" s="76"/>
      <c r="J29" s="76"/>
      <c r="K29" s="76"/>
      <c r="L29" s="76"/>
    </row>
    <row r="30" spans="1:12" ht="66" customHeight="1" x14ac:dyDescent="0.25">
      <c r="A30" s="48" t="s">
        <v>22</v>
      </c>
      <c r="B30" s="35" t="s">
        <v>15</v>
      </c>
      <c r="C30" s="76"/>
      <c r="D30" s="76"/>
      <c r="E30" s="76"/>
      <c r="F30" s="76"/>
      <c r="G30" s="76"/>
      <c r="H30" s="76"/>
      <c r="I30" s="76"/>
      <c r="J30" s="76"/>
      <c r="K30" s="76"/>
      <c r="L30" s="76"/>
    </row>
    <row r="31" spans="1:12" ht="18" customHeight="1" x14ac:dyDescent="0.25">
      <c r="A31" s="40">
        <v>6</v>
      </c>
      <c r="B31" s="33" t="s">
        <v>14</v>
      </c>
      <c r="C31" s="85">
        <v>0</v>
      </c>
      <c r="D31" s="86">
        <v>0</v>
      </c>
      <c r="E31" s="76">
        <v>2200000</v>
      </c>
      <c r="F31" s="86">
        <v>0</v>
      </c>
      <c r="G31" s="76">
        <v>5160000</v>
      </c>
      <c r="H31" s="86">
        <v>0</v>
      </c>
      <c r="I31" s="76">
        <v>0</v>
      </c>
      <c r="J31" s="86">
        <v>0</v>
      </c>
      <c r="K31" s="76">
        <v>1479000</v>
      </c>
      <c r="L31" s="86">
        <v>0</v>
      </c>
    </row>
    <row r="32" spans="1:12" ht="33.75" customHeight="1" x14ac:dyDescent="0.25">
      <c r="A32" s="48" t="s">
        <v>23</v>
      </c>
      <c r="B32" s="46" t="s">
        <v>39</v>
      </c>
      <c r="C32" s="522" t="s">
        <v>74</v>
      </c>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9" t="s">
        <v>75</v>
      </c>
      <c r="D35" s="530"/>
      <c r="E35" s="531" t="s">
        <v>75</v>
      </c>
      <c r="F35" s="530"/>
      <c r="G35" s="531" t="s">
        <v>75</v>
      </c>
      <c r="H35" s="530"/>
      <c r="I35" s="531" t="s">
        <v>75</v>
      </c>
      <c r="J35" s="530"/>
      <c r="K35" s="531" t="s">
        <v>75</v>
      </c>
      <c r="L35" s="530"/>
    </row>
    <row r="36" spans="1:13" x14ac:dyDescent="0.25">
      <c r="A36" s="39">
        <v>8</v>
      </c>
      <c r="B36" s="36" t="s">
        <v>4</v>
      </c>
      <c r="C36" s="532">
        <v>19000</v>
      </c>
      <c r="D36" s="533"/>
      <c r="E36" s="532">
        <v>19000</v>
      </c>
      <c r="F36" s="533"/>
      <c r="G36" s="532">
        <v>19000</v>
      </c>
      <c r="H36" s="533"/>
      <c r="I36" s="532">
        <v>19000</v>
      </c>
      <c r="J36" s="533"/>
      <c r="K36" s="532">
        <v>19000</v>
      </c>
      <c r="L36" s="533"/>
    </row>
    <row r="37" spans="1:13" ht="15.75" thickBot="1" x14ac:dyDescent="0.3">
      <c r="A37" s="62">
        <v>9</v>
      </c>
      <c r="B37" s="37" t="s">
        <v>44</v>
      </c>
      <c r="C37" s="527" t="s">
        <v>76</v>
      </c>
      <c r="D37" s="528"/>
      <c r="E37" s="527" t="s">
        <v>76</v>
      </c>
      <c r="F37" s="528"/>
      <c r="G37" s="527" t="s">
        <v>76</v>
      </c>
      <c r="H37" s="528"/>
      <c r="I37" s="527" t="s">
        <v>76</v>
      </c>
      <c r="J37" s="528"/>
      <c r="K37" s="527" t="s">
        <v>76</v>
      </c>
      <c r="L37" s="528"/>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ht="60" x14ac:dyDescent="0.25">
      <c r="B42" s="87" t="s">
        <v>77</v>
      </c>
    </row>
    <row r="43" spans="1:13" x14ac:dyDescent="0.25">
      <c r="B43" s="3"/>
    </row>
    <row r="44" spans="1:13" x14ac:dyDescent="0.25">
      <c r="B44" s="3"/>
    </row>
    <row r="45" spans="1:13" x14ac:dyDescent="0.25">
      <c r="B45" s="3"/>
    </row>
  </sheetData>
  <mergeCells count="34">
    <mergeCell ref="A34:B34"/>
    <mergeCell ref="B1:L1"/>
    <mergeCell ref="B2:L2"/>
    <mergeCell ref="B4:L4"/>
    <mergeCell ref="C6:L6"/>
    <mergeCell ref="A8:A9"/>
    <mergeCell ref="B8:B9"/>
    <mergeCell ref="C8:D8"/>
    <mergeCell ref="E8:F8"/>
    <mergeCell ref="G8:H8"/>
    <mergeCell ref="I8:J8"/>
    <mergeCell ref="K8:L8"/>
    <mergeCell ref="A11:B11"/>
    <mergeCell ref="A15:B15"/>
    <mergeCell ref="A24:B24"/>
    <mergeCell ref="C32:L32"/>
    <mergeCell ref="C36:D36"/>
    <mergeCell ref="E36:F36"/>
    <mergeCell ref="G36:H36"/>
    <mergeCell ref="I36:J36"/>
    <mergeCell ref="K36:L36"/>
    <mergeCell ref="C35:D35"/>
    <mergeCell ref="E35:F35"/>
    <mergeCell ref="G35:H35"/>
    <mergeCell ref="I35:J35"/>
    <mergeCell ref="K35:L35"/>
    <mergeCell ref="B39:L39"/>
    <mergeCell ref="B40:L40"/>
    <mergeCell ref="C37:D37"/>
    <mergeCell ref="E37:F37"/>
    <mergeCell ref="G37:H37"/>
    <mergeCell ref="I37:J37"/>
    <mergeCell ref="K37:L37"/>
    <mergeCell ref="B38:L38"/>
  </mergeCells>
  <pageMargins left="0.7" right="0.7"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110" zoomScaleNormal="110" workbookViewId="0">
      <pane ySplit="9" topLeftCell="A10" activePane="bottomLeft" state="frozen"/>
      <selection pane="bottomLeft" activeCell="B54" sqref="B54"/>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78</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16"/>
      <c r="D12" s="47"/>
      <c r="E12" s="88">
        <f>9194000/0.725</f>
        <v>12681379.310344828</v>
      </c>
      <c r="F12" s="47"/>
      <c r="G12" s="88">
        <f>15104412.81/0.82</f>
        <v>18420015.621951222</v>
      </c>
      <c r="H12" s="47"/>
      <c r="I12" s="88">
        <f>16039488.97/0.914</f>
        <v>17548675.021881837</v>
      </c>
      <c r="J12" s="47"/>
      <c r="K12" s="88">
        <f>16737595.81/0.956</f>
        <v>17507945.40794979</v>
      </c>
      <c r="L12" s="47"/>
    </row>
    <row r="13" spans="1:13" ht="36.75" customHeight="1" x14ac:dyDescent="0.25">
      <c r="A13" s="48" t="s">
        <v>16</v>
      </c>
      <c r="B13" s="30" t="s">
        <v>31</v>
      </c>
      <c r="C13" s="17"/>
      <c r="D13" s="43"/>
      <c r="E13" s="18"/>
      <c r="F13" s="43"/>
      <c r="G13" s="67">
        <f>G12/(1698210.74/0.82)</f>
        <v>8.8943100253858951</v>
      </c>
      <c r="H13" s="43"/>
      <c r="I13" s="67">
        <f>I12/(-1270319.04/0.914)</f>
        <v>-12.626346976583143</v>
      </c>
      <c r="J13" s="43"/>
      <c r="K13" s="67">
        <f>K12/(-368170.93/0.956)</f>
        <v>-45.461481192988266</v>
      </c>
      <c r="L13" s="43"/>
    </row>
    <row r="14" spans="1:13" ht="7.5" customHeight="1" x14ac:dyDescent="0.25">
      <c r="A14" s="29"/>
      <c r="B14" s="3"/>
    </row>
    <row r="15" spans="1:13" x14ac:dyDescent="0.25">
      <c r="A15" s="509" t="s">
        <v>1</v>
      </c>
      <c r="B15" s="510"/>
      <c r="C15" s="10"/>
      <c r="D15" s="8"/>
      <c r="E15" s="7"/>
      <c r="F15" s="8"/>
      <c r="G15" s="7"/>
      <c r="H15" s="8"/>
      <c r="I15" s="7"/>
      <c r="J15" s="8"/>
      <c r="K15" s="7"/>
      <c r="L15" s="9"/>
    </row>
    <row r="16" spans="1:13" ht="33" customHeight="1" x14ac:dyDescent="0.25">
      <c r="A16" s="40">
        <v>2</v>
      </c>
      <c r="B16" s="31" t="s">
        <v>5</v>
      </c>
      <c r="C16" s="16"/>
      <c r="D16" s="11"/>
      <c r="E16" s="65"/>
      <c r="F16" s="11"/>
      <c r="G16" s="88">
        <f>219508.82/0.82</f>
        <v>267693.68292682926</v>
      </c>
      <c r="H16" s="11"/>
      <c r="I16" s="88">
        <v>233000.5</v>
      </c>
      <c r="J16" s="11"/>
      <c r="K16" s="88">
        <f>221439.86/0.956</f>
        <v>231631.65271966526</v>
      </c>
      <c r="L16" s="11"/>
    </row>
    <row r="17" spans="1:13" ht="36" customHeight="1" x14ac:dyDescent="0.25">
      <c r="A17" s="48" t="s">
        <v>17</v>
      </c>
      <c r="B17" s="30" t="s">
        <v>30</v>
      </c>
      <c r="C17" s="17"/>
      <c r="D17" s="6"/>
      <c r="E17" s="18"/>
      <c r="F17" s="6"/>
      <c r="G17" s="89">
        <f>G16/(13801400.82/0.82)</f>
        <v>1.5904821754173213E-2</v>
      </c>
      <c r="H17" s="6"/>
      <c r="I17" s="89">
        <f>I16/(14085230.11/0.914)</f>
        <v>1.5119558241991689E-2</v>
      </c>
      <c r="J17" s="6"/>
      <c r="K17" s="89">
        <f>K16/(14103944.53/0.956)</f>
        <v>1.5700562316377741E-2</v>
      </c>
      <c r="L17" s="6"/>
      <c r="M17" s="90"/>
    </row>
    <row r="18" spans="1:13" ht="18" customHeight="1" x14ac:dyDescent="0.25">
      <c r="A18" s="40">
        <v>3</v>
      </c>
      <c r="B18" s="31" t="s">
        <v>12</v>
      </c>
      <c r="C18" s="19"/>
      <c r="D18" s="12"/>
      <c r="E18" s="20"/>
      <c r="F18" s="12"/>
      <c r="G18" s="88">
        <f>1295073.86/0.82</f>
        <v>1579358.3658536586</v>
      </c>
      <c r="H18" s="12"/>
      <c r="I18" s="88">
        <f>1361649.88/0.914</f>
        <v>1489770.1094091902</v>
      </c>
      <c r="J18" s="12"/>
      <c r="K18" s="88">
        <f>1366782.19/0.956</f>
        <v>1429688.4832635983</v>
      </c>
      <c r="L18" s="12"/>
    </row>
    <row r="19" spans="1:13" ht="36" customHeight="1" x14ac:dyDescent="0.25">
      <c r="A19" s="49" t="s">
        <v>37</v>
      </c>
      <c r="B19" s="32" t="s">
        <v>35</v>
      </c>
      <c r="C19" s="19"/>
      <c r="D19" s="12"/>
      <c r="E19" s="20"/>
      <c r="F19" s="12"/>
      <c r="G19" s="20"/>
      <c r="H19" s="12"/>
      <c r="I19" s="20"/>
      <c r="J19" s="12"/>
      <c r="K19" s="20"/>
      <c r="L19" s="12"/>
    </row>
    <row r="20" spans="1:13" ht="18" customHeight="1" x14ac:dyDescent="0.25">
      <c r="A20" s="50" t="s">
        <v>41</v>
      </c>
      <c r="B20" s="32" t="s">
        <v>26</v>
      </c>
      <c r="C20" s="19"/>
      <c r="D20" s="12"/>
      <c r="E20" s="20"/>
      <c r="F20" s="12"/>
      <c r="G20" s="20"/>
      <c r="H20" s="12"/>
      <c r="I20" s="20"/>
      <c r="J20" s="12"/>
      <c r="K20" s="20"/>
      <c r="L20" s="12"/>
    </row>
    <row r="21" spans="1:13" ht="33" customHeight="1" x14ac:dyDescent="0.25">
      <c r="A21" s="50" t="s">
        <v>18</v>
      </c>
      <c r="B21" s="32" t="s">
        <v>28</v>
      </c>
      <c r="C21" s="19"/>
      <c r="D21" s="12"/>
      <c r="E21" s="20"/>
      <c r="F21" s="12"/>
      <c r="G21" s="20"/>
      <c r="H21" s="12"/>
      <c r="I21" s="20"/>
      <c r="J21" s="12"/>
      <c r="K21" s="20"/>
      <c r="L21" s="12"/>
    </row>
    <row r="22" spans="1:13" ht="18.75" customHeight="1" x14ac:dyDescent="0.25">
      <c r="A22" s="51" t="s">
        <v>25</v>
      </c>
      <c r="B22" s="30" t="s">
        <v>29</v>
      </c>
      <c r="C22" s="17"/>
      <c r="D22" s="6"/>
      <c r="E22" s="18"/>
      <c r="F22" s="6"/>
      <c r="G22" s="18"/>
      <c r="H22" s="6"/>
      <c r="I22" s="18"/>
      <c r="J22" s="6"/>
      <c r="K22" s="18"/>
      <c r="L22" s="6"/>
    </row>
    <row r="23" spans="1:13" ht="7.5" customHeight="1" x14ac:dyDescent="0.25">
      <c r="A23" s="29"/>
      <c r="B23" s="3"/>
    </row>
    <row r="24" spans="1:13" x14ac:dyDescent="0.25">
      <c r="A24" s="509" t="s">
        <v>13</v>
      </c>
      <c r="B24" s="510"/>
      <c r="C24" s="10"/>
      <c r="D24" s="10"/>
      <c r="E24" s="10"/>
      <c r="F24" s="10"/>
      <c r="G24" s="10"/>
      <c r="H24" s="10"/>
      <c r="I24" s="10"/>
      <c r="J24" s="10"/>
      <c r="K24" s="10"/>
      <c r="L24" s="8"/>
    </row>
    <row r="25" spans="1:13" ht="19.5" customHeight="1" x14ac:dyDescent="0.25">
      <c r="A25" s="40">
        <v>4</v>
      </c>
      <c r="B25" s="44" t="s">
        <v>40</v>
      </c>
      <c r="C25" s="16"/>
      <c r="D25" s="23"/>
      <c r="E25" s="16"/>
      <c r="F25" s="23"/>
      <c r="G25" s="16" t="s">
        <v>67</v>
      </c>
      <c r="H25" s="23"/>
      <c r="I25" s="16" t="s">
        <v>67</v>
      </c>
      <c r="J25" s="23"/>
      <c r="K25" s="16" t="s">
        <v>67</v>
      </c>
      <c r="L25" s="11"/>
    </row>
    <row r="26" spans="1:13" ht="19.5" customHeight="1" x14ac:dyDescent="0.25">
      <c r="A26" s="48" t="s">
        <v>19</v>
      </c>
      <c r="B26" s="30" t="s">
        <v>0</v>
      </c>
      <c r="C26" s="17"/>
      <c r="D26" s="24"/>
      <c r="E26" s="17"/>
      <c r="F26" s="24"/>
      <c r="G26" s="17"/>
      <c r="H26" s="24"/>
      <c r="I26" s="17"/>
      <c r="J26" s="24"/>
      <c r="K26" s="17"/>
      <c r="L26" s="6"/>
    </row>
    <row r="27" spans="1:13" ht="39.75" customHeight="1" x14ac:dyDescent="0.25">
      <c r="A27" s="40">
        <v>5</v>
      </c>
      <c r="B27" s="45" t="s">
        <v>38</v>
      </c>
      <c r="C27" s="21"/>
      <c r="D27" s="25"/>
      <c r="E27" s="21"/>
      <c r="F27" s="25"/>
      <c r="G27" s="21" t="s">
        <v>67</v>
      </c>
      <c r="H27" s="25"/>
      <c r="I27" s="21" t="s">
        <v>67</v>
      </c>
      <c r="J27" s="25"/>
      <c r="K27" s="21" t="s">
        <v>67</v>
      </c>
      <c r="L27" s="5"/>
    </row>
    <row r="28" spans="1:13" ht="48" customHeight="1" x14ac:dyDescent="0.25">
      <c r="A28" s="49" t="s">
        <v>20</v>
      </c>
      <c r="B28" s="34" t="s">
        <v>42</v>
      </c>
      <c r="C28" s="22"/>
      <c r="D28" s="26"/>
      <c r="E28" s="22"/>
      <c r="F28" s="26"/>
      <c r="G28" s="22"/>
      <c r="H28" s="26"/>
      <c r="I28" s="22"/>
      <c r="J28" s="26"/>
      <c r="K28" s="22"/>
      <c r="L28" s="27"/>
    </row>
    <row r="29" spans="1:13" ht="36" customHeight="1" x14ac:dyDescent="0.25">
      <c r="A29" s="49" t="s">
        <v>21</v>
      </c>
      <c r="B29" s="34" t="s">
        <v>34</v>
      </c>
      <c r="C29" s="22"/>
      <c r="D29" s="26"/>
      <c r="E29" s="22"/>
      <c r="F29" s="26"/>
      <c r="G29" s="22"/>
      <c r="H29" s="26"/>
      <c r="I29" s="22"/>
      <c r="J29" s="26"/>
      <c r="K29" s="22"/>
      <c r="L29" s="27"/>
    </row>
    <row r="30" spans="1:13" ht="66" customHeight="1" x14ac:dyDescent="0.25">
      <c r="A30" s="48" t="s">
        <v>22</v>
      </c>
      <c r="B30" s="35" t="s">
        <v>15</v>
      </c>
      <c r="C30" s="522"/>
      <c r="D30" s="505"/>
      <c r="E30" s="505"/>
      <c r="F30" s="505"/>
      <c r="G30" s="505"/>
      <c r="H30" s="505"/>
      <c r="I30" s="505"/>
      <c r="J30" s="505"/>
      <c r="K30" s="505"/>
      <c r="L30" s="506"/>
    </row>
    <row r="31" spans="1:13" ht="18" customHeight="1" x14ac:dyDescent="0.25">
      <c r="A31" s="40">
        <v>6</v>
      </c>
      <c r="B31" s="33" t="s">
        <v>14</v>
      </c>
      <c r="C31" s="28"/>
      <c r="D31" s="23"/>
      <c r="E31" s="16"/>
      <c r="F31" s="23"/>
      <c r="G31" s="16"/>
      <c r="H31" s="23"/>
      <c r="I31" s="16"/>
      <c r="J31" s="23"/>
      <c r="K31" s="16"/>
      <c r="L31" s="23"/>
    </row>
    <row r="32" spans="1:13" ht="33.75" customHeight="1" x14ac:dyDescent="0.25">
      <c r="A32" s="48" t="s">
        <v>23</v>
      </c>
      <c r="B32" s="46" t="s">
        <v>39</v>
      </c>
      <c r="C32" s="522" t="s">
        <v>79</v>
      </c>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62</v>
      </c>
      <c r="D35" s="521"/>
      <c r="E35" s="520" t="s">
        <v>62</v>
      </c>
      <c r="F35" s="521"/>
      <c r="G35" s="520" t="s">
        <v>62</v>
      </c>
      <c r="H35" s="521"/>
      <c r="I35" s="520" t="s">
        <v>62</v>
      </c>
      <c r="J35" s="521"/>
      <c r="K35" s="520" t="s">
        <v>62</v>
      </c>
      <c r="L35" s="521"/>
    </row>
    <row r="36" spans="1:13" x14ac:dyDescent="0.25">
      <c r="A36" s="39">
        <v>8</v>
      </c>
      <c r="B36" s="36" t="s">
        <v>4</v>
      </c>
      <c r="C36" s="536"/>
      <c r="D36" s="489"/>
      <c r="E36" s="488"/>
      <c r="F36" s="489"/>
      <c r="G36" s="537">
        <f>37000/0.82</f>
        <v>45121.951219512201</v>
      </c>
      <c r="H36" s="538"/>
      <c r="I36" s="488"/>
      <c r="J36" s="489"/>
      <c r="K36" s="537">
        <f>34447/0.956</f>
        <v>36032.426778242676</v>
      </c>
      <c r="L36" s="538"/>
    </row>
    <row r="37" spans="1:13" ht="15.75" thickBot="1" x14ac:dyDescent="0.3">
      <c r="A37" s="62">
        <v>9</v>
      </c>
      <c r="B37" s="37" t="s">
        <v>44</v>
      </c>
      <c r="C37" s="486" t="s">
        <v>80</v>
      </c>
      <c r="D37" s="487"/>
      <c r="E37" s="490" t="s">
        <v>62</v>
      </c>
      <c r="F37" s="487"/>
      <c r="G37" s="539" t="s">
        <v>61</v>
      </c>
      <c r="H37" s="540"/>
      <c r="I37" s="490" t="s">
        <v>62</v>
      </c>
      <c r="J37" s="487"/>
      <c r="K37" s="490" t="s">
        <v>61</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sheetData>
  <mergeCells count="35">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85" zoomScaleNormal="85" workbookViewId="0">
      <selection activeCell="E21" sqref="E21"/>
    </sheetView>
  </sheetViews>
  <sheetFormatPr defaultRowHeight="15" x14ac:dyDescent="0.25"/>
  <cols>
    <col min="1" max="1" width="5.5703125" customWidth="1"/>
    <col min="2" max="2" width="52.140625" customWidth="1"/>
    <col min="3" max="3" width="20" customWidth="1"/>
    <col min="4" max="4" width="14" customWidth="1"/>
    <col min="5" max="5" width="16.5703125" customWidth="1"/>
    <col min="6" max="6" width="13.7109375" customWidth="1"/>
    <col min="7" max="7" width="17.42578125" customWidth="1"/>
    <col min="8" max="8" width="13.5703125" customWidth="1"/>
    <col min="9" max="9" width="16.42578125" customWidth="1"/>
    <col min="10" max="10" width="14.140625" customWidth="1"/>
    <col min="11" max="11" width="16.85546875" customWidth="1"/>
    <col min="12"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81</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91">
        <v>1062062974</v>
      </c>
      <c r="D12" s="91"/>
      <c r="E12" s="91">
        <v>1037426947</v>
      </c>
      <c r="F12" s="91"/>
      <c r="G12" s="91">
        <v>1239734877</v>
      </c>
      <c r="H12" s="91"/>
      <c r="I12" s="91">
        <v>987831676</v>
      </c>
      <c r="J12" s="91"/>
      <c r="K12" s="91">
        <v>1192347450</v>
      </c>
      <c r="L12" s="91"/>
    </row>
    <row r="13" spans="1:13" ht="46.5" customHeight="1" x14ac:dyDescent="0.25">
      <c r="A13" s="48" t="s">
        <v>16</v>
      </c>
      <c r="B13" s="30" t="s">
        <v>31</v>
      </c>
      <c r="C13" s="92" t="s">
        <v>82</v>
      </c>
      <c r="D13" s="43"/>
      <c r="E13" s="92" t="s">
        <v>83</v>
      </c>
      <c r="F13" s="43"/>
      <c r="G13" s="92" t="s">
        <v>84</v>
      </c>
      <c r="H13" s="43"/>
      <c r="I13" s="92" t="s">
        <v>85</v>
      </c>
      <c r="J13" s="43"/>
      <c r="K13" s="92" t="s">
        <v>86</v>
      </c>
      <c r="L13" s="43"/>
    </row>
    <row r="14" spans="1:13" ht="7.5" customHeight="1" x14ac:dyDescent="0.25">
      <c r="A14" s="29"/>
      <c r="B14" s="3"/>
    </row>
    <row r="15" spans="1:13" x14ac:dyDescent="0.25">
      <c r="A15" s="509" t="s">
        <v>1</v>
      </c>
      <c r="B15" s="510"/>
      <c r="C15" s="10"/>
      <c r="D15" s="8"/>
      <c r="E15" s="7"/>
      <c r="F15" s="8"/>
      <c r="G15" s="7"/>
      <c r="H15" s="8"/>
      <c r="I15" s="7"/>
      <c r="J15" s="8"/>
      <c r="K15" s="7"/>
      <c r="L15" s="9"/>
    </row>
    <row r="16" spans="1:13" ht="33" customHeight="1" x14ac:dyDescent="0.25">
      <c r="A16" s="40">
        <v>2</v>
      </c>
      <c r="B16" s="31" t="s">
        <v>5</v>
      </c>
      <c r="C16" s="91">
        <v>7050000</v>
      </c>
      <c r="D16" s="11"/>
      <c r="E16" s="91">
        <v>7050000</v>
      </c>
      <c r="F16" s="11"/>
      <c r="G16" s="91">
        <v>7050000</v>
      </c>
      <c r="H16" s="11"/>
      <c r="I16" s="91">
        <v>7050000</v>
      </c>
      <c r="J16" s="11"/>
      <c r="K16" s="91">
        <v>7050000</v>
      </c>
      <c r="L16" s="11"/>
    </row>
    <row r="17" spans="1:12" ht="36" customHeight="1" x14ac:dyDescent="0.25">
      <c r="A17" s="48" t="s">
        <v>17</v>
      </c>
      <c r="B17" s="30" t="s">
        <v>30</v>
      </c>
      <c r="C17" s="93" t="s">
        <v>87</v>
      </c>
      <c r="D17" s="6"/>
      <c r="E17" s="93" t="s">
        <v>87</v>
      </c>
      <c r="F17" s="6"/>
      <c r="G17" s="93" t="s">
        <v>87</v>
      </c>
      <c r="H17" s="6"/>
      <c r="I17" s="93" t="s">
        <v>87</v>
      </c>
      <c r="J17" s="6"/>
      <c r="K17" s="93" t="s">
        <v>87</v>
      </c>
      <c r="L17" s="6"/>
    </row>
    <row r="18" spans="1:12" ht="18" customHeight="1" x14ac:dyDescent="0.25">
      <c r="A18" s="40">
        <v>3</v>
      </c>
      <c r="B18" s="31" t="s">
        <v>12</v>
      </c>
      <c r="C18" s="91">
        <v>268300000</v>
      </c>
      <c r="D18" s="91"/>
      <c r="E18" s="91">
        <v>343700000</v>
      </c>
      <c r="F18" s="91"/>
      <c r="G18" s="91">
        <v>351900000</v>
      </c>
      <c r="H18" s="91"/>
      <c r="I18" s="91">
        <v>340000000</v>
      </c>
      <c r="J18" s="91"/>
      <c r="K18" s="91">
        <v>376600000</v>
      </c>
      <c r="L18" s="12"/>
    </row>
    <row r="19" spans="1:12" ht="36" customHeight="1" x14ac:dyDescent="0.25">
      <c r="A19" s="49" t="s">
        <v>37</v>
      </c>
      <c r="B19" s="32" t="s">
        <v>35</v>
      </c>
      <c r="C19" s="94">
        <f>C18-228600000-C16</f>
        <v>32650000</v>
      </c>
      <c r="D19" s="12"/>
      <c r="E19" s="95">
        <f>E18-C18-E16</f>
        <v>68350000</v>
      </c>
      <c r="F19" s="12"/>
      <c r="G19" s="95">
        <f>G18-E18-G16</f>
        <v>1150000</v>
      </c>
      <c r="H19" s="12"/>
      <c r="I19" s="96">
        <f>I18-G18-I16</f>
        <v>-18950000</v>
      </c>
      <c r="J19" s="12"/>
      <c r="K19" s="95">
        <f>K18-I18-K16</f>
        <v>29550000</v>
      </c>
      <c r="L19" s="12"/>
    </row>
    <row r="20" spans="1:12" ht="64.5" customHeight="1" x14ac:dyDescent="0.25">
      <c r="A20" s="50" t="s">
        <v>41</v>
      </c>
      <c r="B20" s="32" t="s">
        <v>26</v>
      </c>
      <c r="C20" s="97">
        <v>0.13800000000000001</v>
      </c>
      <c r="D20" s="97"/>
      <c r="E20" s="92" t="s">
        <v>88</v>
      </c>
      <c r="F20" s="12"/>
      <c r="G20" s="97">
        <v>5.1999999999999998E-2</v>
      </c>
      <c r="H20" s="12"/>
      <c r="I20" s="97">
        <v>-6.6000000000000003E-2</v>
      </c>
      <c r="J20" s="12"/>
      <c r="K20" s="97">
        <v>5.3999999999999999E-2</v>
      </c>
      <c r="L20" s="12"/>
    </row>
    <row r="21" spans="1:12" ht="33" customHeight="1" x14ac:dyDescent="0.25">
      <c r="A21" s="50" t="s">
        <v>18</v>
      </c>
      <c r="B21" s="32" t="s">
        <v>28</v>
      </c>
      <c r="C21" s="91">
        <v>268300000</v>
      </c>
      <c r="D21" s="12"/>
      <c r="E21" s="91">
        <v>343700000</v>
      </c>
      <c r="F21" s="91"/>
      <c r="G21" s="91">
        <v>351900000</v>
      </c>
      <c r="H21" s="91"/>
      <c r="I21" s="91">
        <v>340000000</v>
      </c>
      <c r="J21" s="91"/>
      <c r="K21" s="91">
        <v>376600000</v>
      </c>
      <c r="L21" s="12"/>
    </row>
    <row r="22" spans="1:12" ht="18.75" customHeight="1" x14ac:dyDescent="0.25">
      <c r="A22" s="51" t="s">
        <v>25</v>
      </c>
      <c r="B22" s="30" t="s">
        <v>29</v>
      </c>
      <c r="C22" s="93" t="s">
        <v>87</v>
      </c>
      <c r="D22" s="6"/>
      <c r="E22" s="93" t="s">
        <v>87</v>
      </c>
      <c r="F22" s="6"/>
      <c r="G22" s="93" t="s">
        <v>87</v>
      </c>
      <c r="H22" s="6"/>
      <c r="I22" s="93" t="s">
        <v>87</v>
      </c>
      <c r="J22" s="6"/>
      <c r="K22" s="93" t="s">
        <v>87</v>
      </c>
      <c r="L22" s="6"/>
    </row>
    <row r="23" spans="1:12" ht="7.5" customHeight="1" x14ac:dyDescent="0.25">
      <c r="A23" s="29"/>
      <c r="B23" s="3"/>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93" t="s">
        <v>87</v>
      </c>
      <c r="D25" s="23"/>
      <c r="E25" s="93" t="s">
        <v>87</v>
      </c>
      <c r="F25" s="23"/>
      <c r="G25" s="93" t="s">
        <v>87</v>
      </c>
      <c r="H25" s="23"/>
      <c r="I25" s="93" t="s">
        <v>87</v>
      </c>
      <c r="J25" s="23"/>
      <c r="K25" s="93" t="s">
        <v>87</v>
      </c>
      <c r="L25" s="11"/>
    </row>
    <row r="26" spans="1:12" ht="19.5" customHeight="1" x14ac:dyDescent="0.25">
      <c r="A26" s="48" t="s">
        <v>19</v>
      </c>
      <c r="B26" s="30" t="s">
        <v>0</v>
      </c>
      <c r="C26" s="93" t="s">
        <v>87</v>
      </c>
      <c r="D26" s="24"/>
      <c r="E26" s="93" t="s">
        <v>87</v>
      </c>
      <c r="F26" s="24"/>
      <c r="G26" s="93" t="s">
        <v>87</v>
      </c>
      <c r="H26" s="24"/>
      <c r="I26" s="93" t="s">
        <v>87</v>
      </c>
      <c r="J26" s="24"/>
      <c r="K26" s="93" t="s">
        <v>87</v>
      </c>
      <c r="L26" s="6"/>
    </row>
    <row r="27" spans="1:12" ht="39.75" customHeight="1" x14ac:dyDescent="0.25">
      <c r="A27" s="40">
        <v>5</v>
      </c>
      <c r="B27" s="45" t="s">
        <v>38</v>
      </c>
      <c r="C27" s="93" t="s">
        <v>87</v>
      </c>
      <c r="D27" s="25"/>
      <c r="E27" s="93" t="s">
        <v>87</v>
      </c>
      <c r="F27" s="25"/>
      <c r="G27" s="93" t="s">
        <v>87</v>
      </c>
      <c r="H27" s="25"/>
      <c r="I27" s="93" t="s">
        <v>87</v>
      </c>
      <c r="J27" s="25"/>
      <c r="K27" s="93" t="s">
        <v>87</v>
      </c>
      <c r="L27" s="5"/>
    </row>
    <row r="28" spans="1:12" ht="48" customHeight="1" x14ac:dyDescent="0.25">
      <c r="A28" s="49" t="s">
        <v>20</v>
      </c>
      <c r="B28" s="34" t="s">
        <v>42</v>
      </c>
      <c r="C28" s="93" t="s">
        <v>87</v>
      </c>
      <c r="D28" s="26"/>
      <c r="E28" s="93" t="s">
        <v>87</v>
      </c>
      <c r="F28" s="26"/>
      <c r="G28" s="93" t="s">
        <v>87</v>
      </c>
      <c r="H28" s="26"/>
      <c r="I28" s="93" t="s">
        <v>87</v>
      </c>
      <c r="J28" s="26"/>
      <c r="K28" s="93" t="s">
        <v>87</v>
      </c>
      <c r="L28" s="27"/>
    </row>
    <row r="29" spans="1:12" ht="36" customHeight="1" x14ac:dyDescent="0.25">
      <c r="A29" s="49" t="s">
        <v>21</v>
      </c>
      <c r="B29" s="34" t="s">
        <v>34</v>
      </c>
      <c r="C29" s="93" t="s">
        <v>87</v>
      </c>
      <c r="D29" s="26"/>
      <c r="E29" s="93" t="s">
        <v>87</v>
      </c>
      <c r="F29" s="26"/>
      <c r="G29" s="93" t="s">
        <v>87</v>
      </c>
      <c r="H29" s="26"/>
      <c r="I29" s="93" t="s">
        <v>87</v>
      </c>
      <c r="J29" s="26"/>
      <c r="K29" s="93" t="s">
        <v>87</v>
      </c>
      <c r="L29" s="27"/>
    </row>
    <row r="30" spans="1:12" ht="66" customHeight="1" x14ac:dyDescent="0.25">
      <c r="A30" s="48" t="s">
        <v>22</v>
      </c>
      <c r="B30" s="35" t="s">
        <v>15</v>
      </c>
      <c r="C30" s="522" t="s">
        <v>89</v>
      </c>
      <c r="D30" s="505"/>
      <c r="E30" s="505"/>
      <c r="F30" s="505"/>
      <c r="G30" s="505"/>
      <c r="H30" s="505"/>
      <c r="I30" s="505"/>
      <c r="J30" s="505"/>
      <c r="K30" s="505"/>
      <c r="L30" s="506"/>
    </row>
    <row r="31" spans="1:12" ht="18" customHeight="1" x14ac:dyDescent="0.25">
      <c r="A31" s="40">
        <v>6</v>
      </c>
      <c r="B31" s="33" t="s">
        <v>14</v>
      </c>
      <c r="C31" s="93" t="s">
        <v>87</v>
      </c>
      <c r="D31" s="23"/>
      <c r="E31" s="93" t="s">
        <v>87</v>
      </c>
      <c r="F31" s="23"/>
      <c r="G31" s="93" t="s">
        <v>87</v>
      </c>
      <c r="H31" s="23"/>
      <c r="I31" s="93" t="s">
        <v>87</v>
      </c>
      <c r="J31" s="23"/>
      <c r="K31" s="93" t="s">
        <v>87</v>
      </c>
      <c r="L31" s="23"/>
    </row>
    <row r="32" spans="1:12" ht="33.75" customHeight="1" x14ac:dyDescent="0.25">
      <c r="A32" s="48" t="s">
        <v>23</v>
      </c>
      <c r="B32" s="46" t="s">
        <v>39</v>
      </c>
      <c r="C32" s="522" t="s">
        <v>87</v>
      </c>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90</v>
      </c>
      <c r="D35" s="521"/>
      <c r="E35" s="526" t="s">
        <v>90</v>
      </c>
      <c r="F35" s="521"/>
      <c r="G35" s="526" t="s">
        <v>90</v>
      </c>
      <c r="H35" s="521"/>
      <c r="I35" s="526" t="s">
        <v>90</v>
      </c>
      <c r="J35" s="521"/>
      <c r="K35" s="526" t="s">
        <v>90</v>
      </c>
      <c r="L35" s="521"/>
    </row>
    <row r="36" spans="1:13" x14ac:dyDescent="0.25">
      <c r="A36" s="39">
        <v>8</v>
      </c>
      <c r="B36" s="36" t="s">
        <v>4</v>
      </c>
      <c r="C36" s="536" t="s">
        <v>91</v>
      </c>
      <c r="D36" s="489"/>
      <c r="E36" s="536" t="s">
        <v>91</v>
      </c>
      <c r="F36" s="489"/>
      <c r="G36" s="536" t="s">
        <v>91</v>
      </c>
      <c r="H36" s="489"/>
      <c r="I36" s="536" t="s">
        <v>91</v>
      </c>
      <c r="J36" s="489"/>
      <c r="K36" s="488" t="s">
        <v>92</v>
      </c>
      <c r="L36" s="489"/>
    </row>
    <row r="37" spans="1:13" ht="15.75" thickBot="1" x14ac:dyDescent="0.3">
      <c r="A37" s="62">
        <v>9</v>
      </c>
      <c r="B37" s="37" t="s">
        <v>44</v>
      </c>
      <c r="C37" s="486" t="s">
        <v>61</v>
      </c>
      <c r="D37" s="487"/>
      <c r="E37" s="486" t="s">
        <v>61</v>
      </c>
      <c r="F37" s="487"/>
      <c r="G37" s="486" t="s">
        <v>61</v>
      </c>
      <c r="H37" s="487"/>
      <c r="I37" s="486" t="s">
        <v>61</v>
      </c>
      <c r="J37" s="487"/>
      <c r="K37" s="486" t="s">
        <v>61</v>
      </c>
      <c r="L37" s="48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x14ac:dyDescent="0.25">
      <c r="B44" s="3"/>
    </row>
    <row r="45" spans="1:13" x14ac:dyDescent="0.25">
      <c r="B45" s="3"/>
    </row>
  </sheetData>
  <mergeCells count="35">
    <mergeCell ref="B1:L1"/>
    <mergeCell ref="B2:L2"/>
    <mergeCell ref="B4:L4"/>
    <mergeCell ref="C6:L6"/>
    <mergeCell ref="A8:A9"/>
    <mergeCell ref="B8:B9"/>
    <mergeCell ref="C8:D8"/>
    <mergeCell ref="E8:F8"/>
    <mergeCell ref="G8:H8"/>
    <mergeCell ref="I8:J8"/>
    <mergeCell ref="K35:L35"/>
    <mergeCell ref="K8:L8"/>
    <mergeCell ref="A11:B11"/>
    <mergeCell ref="A15:B15"/>
    <mergeCell ref="A24:B24"/>
    <mergeCell ref="C30:L30"/>
    <mergeCell ref="C32:L32"/>
    <mergeCell ref="A34:B34"/>
    <mergeCell ref="C35:D35"/>
    <mergeCell ref="E35:F35"/>
    <mergeCell ref="G35:H35"/>
    <mergeCell ref="I35:J35"/>
    <mergeCell ref="B38:L38"/>
    <mergeCell ref="B39:L39"/>
    <mergeCell ref="B40:L40"/>
    <mergeCell ref="C36:D36"/>
    <mergeCell ref="E36:F36"/>
    <mergeCell ref="G36:H36"/>
    <mergeCell ref="I36:J36"/>
    <mergeCell ref="K36:L36"/>
    <mergeCell ref="C37:D37"/>
    <mergeCell ref="E37:F37"/>
    <mergeCell ref="G37:H37"/>
    <mergeCell ref="I37:J37"/>
    <mergeCell ref="K37:L37"/>
  </mergeCells>
  <pageMargins left="0.7" right="0.7" top="0.75" bottom="0.75" header="0.3" footer="0.3"/>
  <pageSetup paperSize="8" scale="7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5"/>
  <sheetViews>
    <sheetView topLeftCell="A25" zoomScale="85" zoomScaleNormal="85" workbookViewId="0">
      <selection activeCell="I53" sqref="I53"/>
    </sheetView>
  </sheetViews>
  <sheetFormatPr defaultRowHeight="15" x14ac:dyDescent="0.25"/>
  <cols>
    <col min="1" max="1" width="5.5703125" customWidth="1"/>
    <col min="2" max="2" width="52.140625" customWidth="1"/>
    <col min="3" max="3" width="13.7109375" customWidth="1"/>
    <col min="4" max="4" width="14" customWidth="1"/>
    <col min="5" max="5" width="13.85546875" customWidth="1"/>
    <col min="6" max="7" width="13.7109375" customWidth="1"/>
    <col min="8" max="9" width="13.5703125" customWidth="1"/>
    <col min="10" max="10" width="14.140625" customWidth="1"/>
    <col min="11" max="11" width="15.85546875" customWidth="1"/>
    <col min="12" max="12" width="13.710937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499" t="s">
        <v>100</v>
      </c>
      <c r="D6" s="499"/>
      <c r="E6" s="499"/>
      <c r="F6" s="499"/>
      <c r="G6" s="499"/>
      <c r="H6" s="499"/>
      <c r="I6" s="499"/>
      <c r="J6" s="499"/>
      <c r="K6" s="499"/>
      <c r="L6" s="500"/>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2"/>
    </row>
    <row r="10" spans="1:13" ht="7.5" customHeight="1" x14ac:dyDescent="0.25">
      <c r="C10" s="2"/>
      <c r="D10" s="2"/>
      <c r="E10" s="2"/>
      <c r="F10" s="2"/>
      <c r="G10" s="2"/>
      <c r="H10" s="2"/>
      <c r="I10" s="2"/>
      <c r="J10" s="2"/>
      <c r="K10" s="2"/>
      <c r="L10" s="2"/>
      <c r="M10" s="2"/>
    </row>
    <row r="11" spans="1:13" x14ac:dyDescent="0.25">
      <c r="A11" s="511" t="s">
        <v>7</v>
      </c>
      <c r="B11" s="512"/>
      <c r="C11" s="10"/>
      <c r="D11" s="8"/>
      <c r="E11" s="7"/>
      <c r="F11" s="8"/>
      <c r="G11" s="7"/>
      <c r="H11" s="8"/>
      <c r="I11" s="7"/>
      <c r="J11" s="8"/>
      <c r="K11" s="7"/>
      <c r="L11" s="9"/>
    </row>
    <row r="12" spans="1:13" ht="35.25" customHeight="1" x14ac:dyDescent="0.25">
      <c r="A12" s="40">
        <v>1</v>
      </c>
      <c r="B12" s="31" t="s">
        <v>6</v>
      </c>
      <c r="C12" s="91"/>
      <c r="D12" s="47"/>
      <c r="E12" s="99">
        <f>[1]Sheet2!E4</f>
        <v>328068297</v>
      </c>
      <c r="F12" s="47"/>
      <c r="G12" s="99">
        <f>[1]Sheet2!D4</f>
        <v>477813075</v>
      </c>
      <c r="H12" s="47"/>
      <c r="I12" s="99">
        <f>[1]Sheet2!C4</f>
        <v>450342166</v>
      </c>
      <c r="J12" s="47"/>
      <c r="K12" s="99">
        <f>165264941+396047124</f>
        <v>561312065</v>
      </c>
      <c r="L12" s="47"/>
    </row>
    <row r="13" spans="1:13" ht="36.75" customHeight="1" x14ac:dyDescent="0.25">
      <c r="A13" s="48" t="s">
        <v>16</v>
      </c>
      <c r="B13" s="30" t="s">
        <v>31</v>
      </c>
      <c r="C13" s="66"/>
      <c r="D13" s="43"/>
      <c r="E13" s="67">
        <f>E12/[1]Sheet2!E11</f>
        <v>8.9326189724181118E-2</v>
      </c>
      <c r="F13" s="43"/>
      <c r="G13" s="67">
        <f>G12/[1]Sheet2!D11</f>
        <v>0.12180719274989166</v>
      </c>
      <c r="H13" s="43"/>
      <c r="I13" s="67">
        <f>I12/[1]Sheet2!C11</f>
        <v>0.11943514719142842</v>
      </c>
      <c r="J13" s="43"/>
      <c r="K13" s="67">
        <f>K12/4327100000</f>
        <v>0.12972015090938505</v>
      </c>
      <c r="L13" s="43"/>
    </row>
    <row r="14" spans="1:13" ht="7.5" customHeight="1" x14ac:dyDescent="0.25">
      <c r="A14" s="29"/>
      <c r="B14" s="3"/>
    </row>
    <row r="15" spans="1:13" x14ac:dyDescent="0.25">
      <c r="A15" s="541" t="s">
        <v>1</v>
      </c>
      <c r="B15" s="542"/>
      <c r="C15" s="100"/>
      <c r="D15" s="101"/>
      <c r="E15" s="102"/>
      <c r="F15" s="101"/>
      <c r="G15" s="102"/>
      <c r="H15" s="101"/>
      <c r="I15" s="102"/>
      <c r="J15" s="101"/>
      <c r="K15" s="102"/>
      <c r="L15" s="103"/>
    </row>
    <row r="16" spans="1:13" ht="33" customHeight="1" x14ac:dyDescent="0.25">
      <c r="A16" s="104">
        <v>2</v>
      </c>
      <c r="B16" s="105" t="s">
        <v>5</v>
      </c>
      <c r="C16" s="106"/>
      <c r="D16" s="107"/>
      <c r="E16" s="108">
        <f>8800000+6500000+8400000+2400000</f>
        <v>26100000</v>
      </c>
      <c r="F16" s="107"/>
      <c r="G16" s="108">
        <f>6000000+6500000+6100000+10100000</f>
        <v>28700000</v>
      </c>
      <c r="H16" s="107"/>
      <c r="I16" s="108">
        <f>6200000+7200000+8100000+7200000</f>
        <v>28700000</v>
      </c>
      <c r="J16" s="107"/>
      <c r="K16" s="108">
        <f>11700000+7200000+8100000+9100000</f>
        <v>36100000</v>
      </c>
      <c r="L16" s="107"/>
    </row>
    <row r="17" spans="1:12" ht="36" customHeight="1" x14ac:dyDescent="0.25">
      <c r="A17" s="109" t="s">
        <v>17</v>
      </c>
      <c r="B17" s="110" t="s">
        <v>30</v>
      </c>
      <c r="C17" s="111"/>
      <c r="D17" s="112"/>
      <c r="E17" s="113">
        <f>E16/309499813.94</f>
        <v>8.432961450845905E-2</v>
      </c>
      <c r="F17" s="112"/>
      <c r="G17" s="113">
        <f>G16/318916435.17</f>
        <v>8.9992226285551327E-2</v>
      </c>
      <c r="H17" s="112"/>
      <c r="I17" s="113">
        <f>I16/311666053.06</f>
        <v>9.2085742794948716E-2</v>
      </c>
      <c r="J17" s="114"/>
      <c r="K17" s="113">
        <f>K16/326951686.71</f>
        <v>0.11041386684149461</v>
      </c>
      <c r="L17" s="112"/>
    </row>
    <row r="18" spans="1:12" ht="18" customHeight="1" x14ac:dyDescent="0.25">
      <c r="A18" s="104">
        <v>3</v>
      </c>
      <c r="B18" s="105" t="s">
        <v>12</v>
      </c>
      <c r="C18" s="115"/>
      <c r="D18" s="116"/>
      <c r="E18" s="117">
        <v>357100000</v>
      </c>
      <c r="F18" s="116"/>
      <c r="G18" s="117">
        <v>389800000</v>
      </c>
      <c r="H18" s="116"/>
      <c r="I18" s="117">
        <v>404200000</v>
      </c>
      <c r="J18" s="116"/>
      <c r="K18" s="117">
        <v>456400000</v>
      </c>
      <c r="L18" s="116"/>
    </row>
    <row r="19" spans="1:12" ht="36" customHeight="1" x14ac:dyDescent="0.25">
      <c r="A19" s="118" t="s">
        <v>37</v>
      </c>
      <c r="B19" s="119" t="s">
        <v>35</v>
      </c>
      <c r="C19" s="115"/>
      <c r="D19" s="116"/>
      <c r="E19" s="120">
        <v>43637620</v>
      </c>
      <c r="F19" s="116"/>
      <c r="G19" s="120">
        <v>4556090</v>
      </c>
      <c r="H19" s="116"/>
      <c r="I19" s="120">
        <v>-22073200</v>
      </c>
      <c r="J19" s="116"/>
      <c r="K19" s="120">
        <v>16953820</v>
      </c>
      <c r="L19" s="116"/>
    </row>
    <row r="20" spans="1:12" ht="18" customHeight="1" x14ac:dyDescent="0.25">
      <c r="A20" s="118" t="s">
        <v>41</v>
      </c>
      <c r="B20" s="119" t="s">
        <v>26</v>
      </c>
      <c r="C20" s="121" t="s">
        <v>93</v>
      </c>
      <c r="D20" s="116"/>
      <c r="E20" s="122">
        <v>0.1222</v>
      </c>
      <c r="F20" s="116"/>
      <c r="G20" s="122">
        <v>1.2200000000000001E-2</v>
      </c>
      <c r="H20" s="116"/>
      <c r="I20" s="122">
        <v>-5.5599999999999997E-2</v>
      </c>
      <c r="J20" s="116"/>
      <c r="K20" s="122">
        <v>3.9399999999999998E-2</v>
      </c>
      <c r="L20" s="116"/>
    </row>
    <row r="21" spans="1:12" ht="33" customHeight="1" x14ac:dyDescent="0.25">
      <c r="A21" s="118" t="s">
        <v>18</v>
      </c>
      <c r="B21" s="119" t="s">
        <v>28</v>
      </c>
      <c r="C21" s="115"/>
      <c r="D21" s="116"/>
      <c r="E21" s="120">
        <f>E18</f>
        <v>357100000</v>
      </c>
      <c r="F21" s="116"/>
      <c r="G21" s="120">
        <f>G18</f>
        <v>389800000</v>
      </c>
      <c r="H21" s="116"/>
      <c r="I21" s="120">
        <f>I18</f>
        <v>404200000</v>
      </c>
      <c r="J21" s="116"/>
      <c r="K21" s="120">
        <f>K18</f>
        <v>456400000</v>
      </c>
      <c r="L21" s="116"/>
    </row>
    <row r="22" spans="1:12" ht="18.75" customHeight="1" x14ac:dyDescent="0.25">
      <c r="A22" s="109" t="s">
        <v>25</v>
      </c>
      <c r="B22" s="110" t="s">
        <v>29</v>
      </c>
      <c r="C22" s="111"/>
      <c r="D22" s="112"/>
      <c r="E22" s="123">
        <v>0</v>
      </c>
      <c r="F22" s="112"/>
      <c r="G22" s="123">
        <v>0</v>
      </c>
      <c r="H22" s="112"/>
      <c r="I22" s="123">
        <v>0</v>
      </c>
      <c r="J22" s="112"/>
      <c r="K22" s="123">
        <v>0</v>
      </c>
      <c r="L22" s="112"/>
    </row>
    <row r="23" spans="1:12" ht="7.5" customHeight="1" x14ac:dyDescent="0.25">
      <c r="A23" s="124"/>
      <c r="B23" s="125"/>
      <c r="C23" s="126"/>
      <c r="D23" s="126"/>
      <c r="E23" s="126"/>
      <c r="F23" s="126"/>
      <c r="G23" s="126"/>
      <c r="H23" s="126"/>
      <c r="I23" s="126"/>
      <c r="J23" s="126"/>
      <c r="K23" s="126"/>
      <c r="L23" s="126"/>
    </row>
    <row r="24" spans="1:12" x14ac:dyDescent="0.25">
      <c r="A24" s="509" t="s">
        <v>13</v>
      </c>
      <c r="B24" s="510"/>
      <c r="C24" s="10"/>
      <c r="D24" s="10"/>
      <c r="E24" s="10"/>
      <c r="F24" s="10"/>
      <c r="G24" s="10"/>
      <c r="H24" s="10"/>
      <c r="I24" s="10"/>
      <c r="J24" s="10"/>
      <c r="K24" s="10"/>
      <c r="L24" s="8"/>
    </row>
    <row r="25" spans="1:12" ht="19.5" customHeight="1" x14ac:dyDescent="0.25">
      <c r="A25" s="40">
        <v>4</v>
      </c>
      <c r="B25" s="44" t="s">
        <v>40</v>
      </c>
      <c r="C25" s="91"/>
      <c r="D25" s="23"/>
      <c r="E25" s="127">
        <f>E16-E31</f>
        <v>18600000</v>
      </c>
      <c r="F25" s="23"/>
      <c r="G25" s="127">
        <f>G16-G31</f>
        <v>21200000</v>
      </c>
      <c r="H25" s="23"/>
      <c r="I25" s="127">
        <f>I16-I31</f>
        <v>21200000</v>
      </c>
      <c r="J25" s="23"/>
      <c r="K25" s="127">
        <f>K16-K31</f>
        <v>28600000</v>
      </c>
      <c r="L25" s="11"/>
    </row>
    <row r="26" spans="1:12" ht="19.5" customHeight="1" x14ac:dyDescent="0.25">
      <c r="A26" s="48" t="s">
        <v>19</v>
      </c>
      <c r="B26" s="30" t="s">
        <v>0</v>
      </c>
      <c r="C26" s="17"/>
      <c r="D26" s="24"/>
      <c r="E26" s="128">
        <v>0.115</v>
      </c>
      <c r="F26" s="24"/>
      <c r="G26" s="128">
        <v>7.4999999999999997E-2</v>
      </c>
      <c r="H26" s="24"/>
      <c r="I26" s="128" t="s">
        <v>94</v>
      </c>
      <c r="J26" s="24"/>
      <c r="K26" s="128" t="s">
        <v>95</v>
      </c>
      <c r="L26" s="6"/>
    </row>
    <row r="27" spans="1:12" ht="39.75" customHeight="1" x14ac:dyDescent="0.25">
      <c r="A27" s="40">
        <v>5</v>
      </c>
      <c r="B27" s="45" t="s">
        <v>38</v>
      </c>
      <c r="C27" s="21"/>
      <c r="D27" s="25"/>
      <c r="E27" s="21" t="s">
        <v>96</v>
      </c>
      <c r="F27" s="25"/>
      <c r="G27" s="21" t="s">
        <v>96</v>
      </c>
      <c r="H27" s="25"/>
      <c r="I27" s="21" t="s">
        <v>96</v>
      </c>
      <c r="J27" s="25"/>
      <c r="K27" s="21" t="s">
        <v>96</v>
      </c>
      <c r="L27" s="5"/>
    </row>
    <row r="28" spans="1:12" ht="48" customHeight="1" x14ac:dyDescent="0.25">
      <c r="A28" s="49" t="s">
        <v>20</v>
      </c>
      <c r="B28" s="34" t="s">
        <v>42</v>
      </c>
      <c r="C28" s="22"/>
      <c r="D28" s="26"/>
      <c r="E28" s="22"/>
      <c r="F28" s="26"/>
      <c r="G28" s="22"/>
      <c r="H28" s="26"/>
      <c r="I28" s="22"/>
      <c r="J28" s="26"/>
      <c r="K28" s="22"/>
      <c r="L28" s="27"/>
    </row>
    <row r="29" spans="1:12" ht="36" customHeight="1" x14ac:dyDescent="0.25">
      <c r="A29" s="49" t="s">
        <v>21</v>
      </c>
      <c r="B29" s="34" t="s">
        <v>34</v>
      </c>
      <c r="C29" s="22"/>
      <c r="D29" s="26"/>
      <c r="E29" s="22"/>
      <c r="F29" s="26"/>
      <c r="G29" s="22"/>
      <c r="H29" s="26"/>
      <c r="I29" s="22"/>
      <c r="J29" s="26"/>
      <c r="K29" s="22"/>
      <c r="L29" s="27"/>
    </row>
    <row r="30" spans="1:12" ht="66" customHeight="1" x14ac:dyDescent="0.25">
      <c r="A30" s="48" t="s">
        <v>22</v>
      </c>
      <c r="B30" s="35" t="s">
        <v>15</v>
      </c>
      <c r="C30" s="522"/>
      <c r="D30" s="505"/>
      <c r="E30" s="505"/>
      <c r="F30" s="505"/>
      <c r="G30" s="505"/>
      <c r="H30" s="505"/>
      <c r="I30" s="505"/>
      <c r="J30" s="505"/>
      <c r="K30" s="505"/>
      <c r="L30" s="506"/>
    </row>
    <row r="31" spans="1:12" ht="18" customHeight="1" x14ac:dyDescent="0.25">
      <c r="A31" s="40">
        <v>6</v>
      </c>
      <c r="B31" s="33" t="s">
        <v>14</v>
      </c>
      <c r="C31" s="91"/>
      <c r="D31" s="23"/>
      <c r="E31" s="91">
        <v>7500000</v>
      </c>
      <c r="F31" s="23"/>
      <c r="G31" s="91">
        <v>7500000</v>
      </c>
      <c r="H31" s="23"/>
      <c r="I31" s="91">
        <v>7500000</v>
      </c>
      <c r="J31" s="23"/>
      <c r="K31" s="91">
        <v>7500000</v>
      </c>
      <c r="L31" s="23"/>
    </row>
    <row r="32" spans="1:12" ht="33.75" customHeight="1" x14ac:dyDescent="0.25">
      <c r="A32" s="48" t="s">
        <v>23</v>
      </c>
      <c r="B32" s="46" t="s">
        <v>39</v>
      </c>
      <c r="C32" s="522" t="s">
        <v>97</v>
      </c>
      <c r="D32" s="505"/>
      <c r="E32" s="505"/>
      <c r="F32" s="505"/>
      <c r="G32" s="505"/>
      <c r="H32" s="505"/>
      <c r="I32" s="505"/>
      <c r="J32" s="505"/>
      <c r="K32" s="505"/>
      <c r="L32" s="506"/>
    </row>
    <row r="33" spans="1:13" ht="7.5" customHeight="1" x14ac:dyDescent="0.25">
      <c r="A33" s="29"/>
      <c r="B33" s="3"/>
    </row>
    <row r="34" spans="1:13" ht="15" customHeight="1" x14ac:dyDescent="0.25">
      <c r="A34" s="509" t="s">
        <v>2</v>
      </c>
      <c r="B34" s="510"/>
      <c r="C34" s="10"/>
      <c r="D34" s="8"/>
      <c r="E34" s="7"/>
      <c r="F34" s="8"/>
      <c r="G34" s="7"/>
      <c r="H34" s="8"/>
      <c r="I34" s="7"/>
      <c r="J34" s="8"/>
      <c r="K34" s="7"/>
      <c r="L34" s="8"/>
    </row>
    <row r="35" spans="1:13" x14ac:dyDescent="0.25">
      <c r="A35" s="39">
        <v>7</v>
      </c>
      <c r="B35" s="33" t="s">
        <v>3</v>
      </c>
      <c r="C35" s="526" t="s">
        <v>98</v>
      </c>
      <c r="D35" s="521"/>
      <c r="E35" s="526" t="s">
        <v>98</v>
      </c>
      <c r="F35" s="521"/>
      <c r="G35" s="526" t="s">
        <v>98</v>
      </c>
      <c r="H35" s="521"/>
      <c r="I35" s="526" t="s">
        <v>98</v>
      </c>
      <c r="J35" s="521"/>
      <c r="K35" s="526" t="s">
        <v>98</v>
      </c>
      <c r="L35" s="521"/>
    </row>
    <row r="36" spans="1:13" x14ac:dyDescent="0.25">
      <c r="A36" s="39">
        <v>8</v>
      </c>
      <c r="B36" s="36" t="s">
        <v>4</v>
      </c>
      <c r="C36" s="544">
        <v>52469</v>
      </c>
      <c r="D36" s="489"/>
      <c r="E36" s="544">
        <v>52469</v>
      </c>
      <c r="F36" s="489"/>
      <c r="G36" s="545">
        <f>52469+94500</f>
        <v>146969</v>
      </c>
      <c r="H36" s="546"/>
      <c r="I36" s="545">
        <f>52469+67000</f>
        <v>119469</v>
      </c>
      <c r="J36" s="546"/>
      <c r="K36" s="545">
        <f>104160</f>
        <v>104160</v>
      </c>
      <c r="L36" s="546"/>
    </row>
    <row r="37" spans="1:13" ht="15.75" thickBot="1" x14ac:dyDescent="0.3">
      <c r="A37" s="63">
        <v>9</v>
      </c>
      <c r="B37" s="37" t="s">
        <v>44</v>
      </c>
      <c r="C37" s="129" t="s">
        <v>99</v>
      </c>
      <c r="D37" s="130"/>
      <c r="E37" s="129"/>
      <c r="F37" s="130"/>
      <c r="G37" s="129"/>
      <c r="H37" s="130"/>
      <c r="I37" s="129"/>
      <c r="J37" s="130"/>
      <c r="K37" s="129"/>
      <c r="L37" s="130"/>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row r="43" spans="1:13" x14ac:dyDescent="0.25">
      <c r="B43" s="3"/>
    </row>
    <row r="44" spans="1:13" ht="90" customHeight="1" x14ac:dyDescent="0.25">
      <c r="B44" s="55" t="s">
        <v>124</v>
      </c>
      <c r="C44" s="543" t="s">
        <v>106</v>
      </c>
      <c r="D44" s="543"/>
      <c r="E44" s="543"/>
      <c r="F44" s="543"/>
      <c r="G44" s="543"/>
      <c r="H44" s="543"/>
      <c r="I44" s="543"/>
      <c r="J44" s="543"/>
      <c r="K44" s="543"/>
      <c r="L44" s="543"/>
    </row>
    <row r="45" spans="1:13" x14ac:dyDescent="0.25">
      <c r="B45" s="3"/>
    </row>
  </sheetData>
  <mergeCells count="31">
    <mergeCell ref="B39:L39"/>
    <mergeCell ref="B40:L40"/>
    <mergeCell ref="C44:L44"/>
    <mergeCell ref="C36:D36"/>
    <mergeCell ref="E36:F36"/>
    <mergeCell ref="G36:H36"/>
    <mergeCell ref="I36:J36"/>
    <mergeCell ref="K36:L36"/>
    <mergeCell ref="B38:L38"/>
    <mergeCell ref="K35:L35"/>
    <mergeCell ref="K8:L8"/>
    <mergeCell ref="A11:B11"/>
    <mergeCell ref="A15:B15"/>
    <mergeCell ref="A24:B24"/>
    <mergeCell ref="C30:L30"/>
    <mergeCell ref="C32:L32"/>
    <mergeCell ref="A34:B34"/>
    <mergeCell ref="C35:D35"/>
    <mergeCell ref="E35:F35"/>
    <mergeCell ref="G35:H35"/>
    <mergeCell ref="I35:J35"/>
    <mergeCell ref="B1:L1"/>
    <mergeCell ref="B2:L2"/>
    <mergeCell ref="B4:L4"/>
    <mergeCell ref="C6:L6"/>
    <mergeCell ref="A8:A9"/>
    <mergeCell ref="B8:B9"/>
    <mergeCell ref="C8:D8"/>
    <mergeCell ref="E8:F8"/>
    <mergeCell ref="G8:H8"/>
    <mergeCell ref="I8:J8"/>
  </mergeCells>
  <pageMargins left="0.7" right="0.7" top="0.75" bottom="0.75" header="0.3" footer="0.3"/>
  <pageSetup scale="54"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workbookViewId="0">
      <selection activeCell="B26" sqref="B26"/>
    </sheetView>
  </sheetViews>
  <sheetFormatPr defaultRowHeight="15" x14ac:dyDescent="0.25"/>
  <cols>
    <col min="1" max="1" width="25.7109375" customWidth="1"/>
    <col min="2" max="2" width="14.140625" customWidth="1"/>
    <col min="3" max="3" width="15.28515625" customWidth="1"/>
    <col min="4" max="4" width="14.28515625" customWidth="1"/>
    <col min="5" max="5" width="15.7109375" customWidth="1"/>
    <col min="6" max="6" width="15.140625" customWidth="1"/>
  </cols>
  <sheetData>
    <row r="2" spans="1:11" x14ac:dyDescent="0.25">
      <c r="A2" t="s">
        <v>100</v>
      </c>
    </row>
    <row r="3" spans="1:11" x14ac:dyDescent="0.25">
      <c r="B3">
        <v>2016</v>
      </c>
      <c r="C3">
        <v>2015</v>
      </c>
      <c r="D3">
        <v>2014</v>
      </c>
      <c r="E3">
        <v>2013</v>
      </c>
      <c r="F3">
        <v>2012</v>
      </c>
    </row>
    <row r="4" spans="1:11" x14ac:dyDescent="0.25">
      <c r="A4" t="s">
        <v>101</v>
      </c>
      <c r="B4" s="131">
        <f>165264941+396047124</f>
        <v>561312065</v>
      </c>
      <c r="C4" s="131">
        <f>134658973+315683193</f>
        <v>450342166</v>
      </c>
      <c r="D4" s="131">
        <f>376964810+100848265</f>
        <v>477813075</v>
      </c>
      <c r="E4" s="131">
        <v>328068297</v>
      </c>
      <c r="F4" s="131">
        <v>364895090</v>
      </c>
      <c r="G4" s="131"/>
      <c r="H4" s="131"/>
      <c r="I4" s="131"/>
      <c r="J4" s="131"/>
      <c r="K4" s="131"/>
    </row>
    <row r="5" spans="1:11" x14ac:dyDescent="0.25">
      <c r="B5" s="131"/>
      <c r="C5" s="131"/>
      <c r="D5" s="131"/>
      <c r="E5" s="131"/>
      <c r="F5" s="131"/>
      <c r="G5" s="131"/>
      <c r="H5" s="131"/>
      <c r="I5" s="131"/>
      <c r="J5" s="131"/>
      <c r="K5" s="131"/>
    </row>
    <row r="6" spans="1:11" x14ac:dyDescent="0.25">
      <c r="A6" t="s">
        <v>102</v>
      </c>
      <c r="B6" s="131">
        <f>687839610</f>
        <v>687839610</v>
      </c>
      <c r="C6" s="131">
        <v>570973006</v>
      </c>
      <c r="D6" s="131">
        <f>600977241</f>
        <v>600977241</v>
      </c>
      <c r="E6" s="131">
        <v>425517956</v>
      </c>
      <c r="F6" s="131">
        <v>471618434</v>
      </c>
      <c r="G6" s="131"/>
      <c r="H6" s="131"/>
      <c r="I6" s="131"/>
      <c r="J6" s="131"/>
      <c r="K6" s="131"/>
    </row>
    <row r="7" spans="1:11" x14ac:dyDescent="0.25">
      <c r="B7" s="131"/>
      <c r="C7" s="131"/>
      <c r="D7" s="131"/>
      <c r="E7" s="131"/>
      <c r="F7" s="131"/>
      <c r="G7" s="131"/>
      <c r="H7" s="131"/>
      <c r="I7" s="131"/>
      <c r="J7" s="131"/>
      <c r="K7" s="131"/>
    </row>
    <row r="8" spans="1:11" x14ac:dyDescent="0.25">
      <c r="A8" t="s">
        <v>103</v>
      </c>
      <c r="B8" s="132">
        <f t="shared" ref="B8:F8" si="0">B4/B6</f>
        <v>0.81605080143610809</v>
      </c>
      <c r="C8" s="132">
        <f>C4/C6</f>
        <v>0.78872759529370817</v>
      </c>
      <c r="D8" s="132">
        <f t="shared" si="0"/>
        <v>0.79506018265340606</v>
      </c>
      <c r="E8" s="132">
        <f t="shared" si="0"/>
        <v>0.77098578890522773</v>
      </c>
      <c r="F8" s="132">
        <f t="shared" si="0"/>
        <v>0.77370828554169702</v>
      </c>
      <c r="G8" s="131"/>
      <c r="H8" s="131"/>
      <c r="I8" s="131"/>
      <c r="J8" s="131"/>
      <c r="K8" s="131"/>
    </row>
    <row r="9" spans="1:11" x14ac:dyDescent="0.25">
      <c r="B9" s="131"/>
      <c r="C9" s="131"/>
      <c r="D9" s="131"/>
      <c r="E9" s="131"/>
      <c r="F9" s="131"/>
      <c r="G9" s="131"/>
      <c r="H9" s="131"/>
      <c r="I9" s="131"/>
      <c r="J9" s="131"/>
      <c r="K9" s="131"/>
    </row>
    <row r="10" spans="1:11" x14ac:dyDescent="0.25">
      <c r="B10" s="131"/>
      <c r="C10" s="131"/>
      <c r="D10" s="131"/>
      <c r="E10" s="131"/>
      <c r="F10" s="131"/>
      <c r="G10" s="131"/>
      <c r="H10" s="131"/>
      <c r="I10" s="131"/>
      <c r="J10" s="131"/>
      <c r="K10" s="131"/>
    </row>
    <row r="11" spans="1:11" x14ac:dyDescent="0.25">
      <c r="A11" t="s">
        <v>104</v>
      </c>
      <c r="B11" s="131">
        <v>4327100000</v>
      </c>
      <c r="C11" s="131">
        <v>3770600000</v>
      </c>
      <c r="D11" s="131">
        <v>3922700000</v>
      </c>
      <c r="E11" s="131">
        <v>3672700000</v>
      </c>
      <c r="F11" s="131">
        <f>3624300000</f>
        <v>3624300000</v>
      </c>
      <c r="G11" s="131"/>
      <c r="H11" s="131"/>
      <c r="I11" s="131"/>
      <c r="J11" s="131"/>
      <c r="K11" s="131"/>
    </row>
    <row r="12" spans="1:11" x14ac:dyDescent="0.25">
      <c r="B12" s="131"/>
      <c r="C12" s="131"/>
      <c r="D12" s="131"/>
      <c r="E12" s="131"/>
      <c r="F12" s="131"/>
      <c r="G12" s="131"/>
      <c r="H12" s="131"/>
      <c r="I12" s="131"/>
      <c r="J12" s="131"/>
      <c r="K12" s="131"/>
    </row>
    <row r="13" spans="1:11" x14ac:dyDescent="0.25">
      <c r="A13" t="s">
        <v>105</v>
      </c>
      <c r="B13" s="132">
        <f>B4/B11</f>
        <v>0.12972015090938505</v>
      </c>
      <c r="C13" s="132">
        <f t="shared" ref="C13:F13" si="1">C4/C11</f>
        <v>0.11943514719142842</v>
      </c>
      <c r="D13" s="132">
        <f t="shared" si="1"/>
        <v>0.12180719274989166</v>
      </c>
      <c r="E13" s="132">
        <f t="shared" si="1"/>
        <v>8.9326189724181118E-2</v>
      </c>
      <c r="F13" s="132">
        <f t="shared" si="1"/>
        <v>0.10068015616808763</v>
      </c>
      <c r="G13" s="131"/>
      <c r="H13" s="131"/>
      <c r="I13" s="131"/>
      <c r="J13" s="131"/>
      <c r="K13" s="131"/>
    </row>
    <row r="14" spans="1:11" x14ac:dyDescent="0.25">
      <c r="B14" s="131"/>
      <c r="C14" s="131"/>
      <c r="D14" s="131"/>
      <c r="E14" s="131"/>
      <c r="F14" s="131"/>
      <c r="G14" s="131"/>
      <c r="H14" s="131"/>
      <c r="I14" s="131"/>
      <c r="J14" s="131"/>
      <c r="K14" s="131"/>
    </row>
    <row r="15" spans="1:11" x14ac:dyDescent="0.25">
      <c r="B15" s="131"/>
      <c r="C15" s="131"/>
      <c r="D15" s="131"/>
      <c r="E15" s="131"/>
      <c r="F15" s="131"/>
      <c r="G15" s="131"/>
      <c r="H15" s="131"/>
      <c r="I15" s="131"/>
      <c r="J15" s="131"/>
      <c r="K15" s="131"/>
    </row>
    <row r="16" spans="1:11" x14ac:dyDescent="0.25">
      <c r="B16" s="131"/>
      <c r="C16" s="131"/>
      <c r="D16" s="131"/>
      <c r="E16" s="131"/>
      <c r="F16" s="131"/>
      <c r="G16" s="131"/>
      <c r="H16" s="131"/>
      <c r="I16" s="131"/>
      <c r="J16" s="131"/>
      <c r="K16" s="131"/>
    </row>
    <row r="17" spans="2:11" x14ac:dyDescent="0.25">
      <c r="B17" s="131"/>
      <c r="C17" s="131"/>
      <c r="D17" s="131"/>
      <c r="E17" s="131"/>
      <c r="F17" s="131"/>
      <c r="G17" s="131"/>
      <c r="H17" s="131"/>
      <c r="I17" s="131"/>
      <c r="J17" s="131"/>
      <c r="K17" s="131"/>
    </row>
    <row r="18" spans="2:11" x14ac:dyDescent="0.25">
      <c r="B18" s="131"/>
      <c r="C18" s="131"/>
      <c r="D18" s="131"/>
      <c r="E18" s="131"/>
      <c r="F18" s="131"/>
      <c r="G18" s="131"/>
      <c r="H18" s="131"/>
      <c r="I18" s="131"/>
      <c r="J18" s="131"/>
      <c r="K18" s="131"/>
    </row>
    <row r="19" spans="2:11" x14ac:dyDescent="0.25">
      <c r="B19" s="131"/>
      <c r="C19" s="131"/>
      <c r="D19" s="131"/>
      <c r="E19" s="131"/>
      <c r="F19" s="131"/>
      <c r="G19" s="131"/>
      <c r="H19" s="131"/>
      <c r="I19" s="131"/>
      <c r="J19" s="131"/>
      <c r="K19" s="131"/>
    </row>
    <row r="20" spans="2:11" x14ac:dyDescent="0.25">
      <c r="B20" s="131"/>
      <c r="C20" s="131"/>
      <c r="D20" s="131"/>
      <c r="E20" s="131"/>
      <c r="F20" s="131"/>
      <c r="G20" s="131"/>
      <c r="H20" s="131"/>
      <c r="I20" s="131"/>
      <c r="J20" s="131"/>
      <c r="K20" s="131"/>
    </row>
    <row r="21" spans="2:11" x14ac:dyDescent="0.25">
      <c r="B21" s="131"/>
      <c r="C21" s="131"/>
      <c r="D21" s="131"/>
      <c r="E21" s="131"/>
      <c r="F21" s="131"/>
      <c r="G21" s="131"/>
      <c r="H21" s="131"/>
      <c r="I21" s="131"/>
      <c r="J21" s="131"/>
      <c r="K21" s="131"/>
    </row>
    <row r="22" spans="2:11" x14ac:dyDescent="0.25">
      <c r="B22" s="131"/>
      <c r="C22" s="131"/>
      <c r="D22" s="131"/>
      <c r="E22" s="131"/>
      <c r="F22" s="131"/>
      <c r="G22" s="131"/>
      <c r="H22" s="131"/>
      <c r="I22" s="131"/>
      <c r="J22" s="131"/>
      <c r="K22" s="131"/>
    </row>
    <row r="23" spans="2:11" x14ac:dyDescent="0.25">
      <c r="B23" s="131"/>
      <c r="C23" s="131"/>
      <c r="D23" s="131"/>
      <c r="E23" s="131"/>
      <c r="F23" s="131"/>
      <c r="G23" s="131"/>
      <c r="H23" s="131"/>
      <c r="I23" s="131"/>
      <c r="J23" s="131"/>
      <c r="K23" s="131"/>
    </row>
    <row r="24" spans="2:11" x14ac:dyDescent="0.25">
      <c r="B24" s="131"/>
      <c r="C24" s="131"/>
      <c r="D24" s="131"/>
      <c r="E24" s="131"/>
      <c r="F24" s="131"/>
      <c r="G24" s="131"/>
      <c r="H24" s="131"/>
      <c r="I24" s="131"/>
      <c r="J24" s="131"/>
      <c r="K24" s="131"/>
    </row>
    <row r="25" spans="2:11" x14ac:dyDescent="0.25">
      <c r="B25" s="131"/>
      <c r="C25" s="131"/>
      <c r="D25" s="131"/>
      <c r="E25" s="131"/>
      <c r="F25" s="131"/>
      <c r="G25" s="131"/>
      <c r="H25" s="131"/>
      <c r="I25" s="131"/>
      <c r="J25" s="131"/>
      <c r="K25" s="131"/>
    </row>
    <row r="26" spans="2:11" x14ac:dyDescent="0.25">
      <c r="B26" s="131"/>
      <c r="C26" s="131"/>
      <c r="D26" s="131"/>
      <c r="E26" s="131"/>
      <c r="F26" s="131"/>
      <c r="G26" s="131"/>
      <c r="H26" s="131"/>
      <c r="I26" s="131"/>
      <c r="J26" s="131"/>
      <c r="K26" s="131"/>
    </row>
    <row r="27" spans="2:11" x14ac:dyDescent="0.25">
      <c r="B27" s="131"/>
      <c r="C27" s="131"/>
      <c r="D27" s="131"/>
      <c r="E27" s="131"/>
      <c r="F27" s="131"/>
      <c r="G27" s="131"/>
      <c r="H27" s="131"/>
      <c r="I27" s="131"/>
      <c r="J27" s="131"/>
      <c r="K27" s="131"/>
    </row>
    <row r="28" spans="2:11" x14ac:dyDescent="0.25">
      <c r="B28" s="131"/>
      <c r="C28" s="131"/>
      <c r="D28" s="131"/>
      <c r="E28" s="131"/>
      <c r="F28" s="131"/>
      <c r="G28" s="131"/>
      <c r="H28" s="131"/>
      <c r="I28" s="131"/>
      <c r="J28" s="131"/>
      <c r="K28" s="131"/>
    </row>
    <row r="29" spans="2:11" x14ac:dyDescent="0.25">
      <c r="B29" s="131"/>
      <c r="C29" s="131"/>
      <c r="D29" s="131"/>
      <c r="E29" s="131"/>
      <c r="F29" s="131"/>
      <c r="G29" s="131"/>
      <c r="H29" s="131"/>
      <c r="I29" s="131"/>
      <c r="J29" s="131"/>
      <c r="K29" s="13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Normal="100" workbookViewId="0">
      <selection activeCell="BR38" sqref="BR38"/>
    </sheetView>
  </sheetViews>
  <sheetFormatPr defaultColWidth="9.140625" defaultRowHeight="15" x14ac:dyDescent="0.25"/>
  <cols>
    <col min="1" max="1" width="5.5703125" customWidth="1"/>
    <col min="2" max="2" width="61.42578125" customWidth="1"/>
    <col min="3" max="3" width="13.7109375" customWidth="1"/>
    <col min="4" max="4" width="14" customWidth="1"/>
    <col min="5" max="5" width="13.85546875" customWidth="1"/>
    <col min="6" max="7" width="13.7109375" customWidth="1"/>
    <col min="8" max="9" width="13.5703125" customWidth="1"/>
    <col min="10" max="10" width="14.140625" customWidth="1"/>
    <col min="11" max="12" width="13.7109375" customWidth="1"/>
    <col min="13" max="13" width="88.5703125" customWidth="1"/>
  </cols>
  <sheetData>
    <row r="1" spans="1:13" x14ac:dyDescent="0.25">
      <c r="B1" s="497" t="s">
        <v>9</v>
      </c>
      <c r="C1" s="497"/>
      <c r="D1" s="497"/>
      <c r="E1" s="497"/>
      <c r="F1" s="497"/>
      <c r="G1" s="497"/>
      <c r="H1" s="497"/>
      <c r="I1" s="497"/>
      <c r="J1" s="497"/>
      <c r="K1" s="497"/>
      <c r="L1" s="497"/>
    </row>
    <row r="2" spans="1:13" x14ac:dyDescent="0.25">
      <c r="B2" s="497" t="s">
        <v>10</v>
      </c>
      <c r="C2" s="497"/>
      <c r="D2" s="497"/>
      <c r="E2" s="497"/>
      <c r="F2" s="497"/>
      <c r="G2" s="497"/>
      <c r="H2" s="497"/>
      <c r="I2" s="497"/>
      <c r="J2" s="497"/>
      <c r="K2" s="497"/>
      <c r="L2" s="497"/>
    </row>
    <row r="3" spans="1:13" ht="8.25" customHeight="1" x14ac:dyDescent="0.25">
      <c r="B3" s="1"/>
      <c r="C3" s="1"/>
      <c r="D3" s="1"/>
      <c r="E3" s="1"/>
      <c r="F3" s="1"/>
      <c r="G3" s="1"/>
      <c r="H3" s="1"/>
      <c r="I3" s="1"/>
      <c r="J3" s="1"/>
      <c r="K3" s="1"/>
      <c r="L3" s="1"/>
    </row>
    <row r="4" spans="1:13" x14ac:dyDescent="0.25">
      <c r="B4" s="498" t="s">
        <v>36</v>
      </c>
      <c r="C4" s="498"/>
      <c r="D4" s="498"/>
      <c r="E4" s="498"/>
      <c r="F4" s="498"/>
      <c r="G4" s="498"/>
      <c r="H4" s="498"/>
      <c r="I4" s="498"/>
      <c r="J4" s="498"/>
      <c r="K4" s="498"/>
      <c r="L4" s="498"/>
    </row>
    <row r="5" spans="1:13" x14ac:dyDescent="0.25">
      <c r="B5" s="13"/>
      <c r="C5" s="13"/>
      <c r="D5" s="13"/>
      <c r="E5" s="13"/>
      <c r="F5" s="13"/>
      <c r="G5" s="13"/>
      <c r="H5" s="13"/>
      <c r="I5" s="13"/>
      <c r="J5" s="13"/>
      <c r="K5" s="13"/>
      <c r="L5" s="13"/>
    </row>
    <row r="6" spans="1:13" x14ac:dyDescent="0.25">
      <c r="B6" s="15" t="s">
        <v>11</v>
      </c>
      <c r="C6" s="547" t="s">
        <v>107</v>
      </c>
      <c r="D6" s="547"/>
      <c r="E6" s="547"/>
      <c r="F6" s="547"/>
      <c r="G6" s="547"/>
      <c r="H6" s="547"/>
      <c r="I6" s="547"/>
      <c r="J6" s="547"/>
      <c r="K6" s="547"/>
      <c r="L6" s="548"/>
    </row>
    <row r="7" spans="1:13" ht="15.75" thickBot="1" x14ac:dyDescent="0.3"/>
    <row r="8" spans="1:13" x14ac:dyDescent="0.25">
      <c r="A8" s="507" t="s">
        <v>24</v>
      </c>
      <c r="B8" s="513" t="s">
        <v>8</v>
      </c>
      <c r="C8" s="501">
        <v>2012</v>
      </c>
      <c r="D8" s="502"/>
      <c r="E8" s="503">
        <v>2013</v>
      </c>
      <c r="F8" s="502"/>
      <c r="G8" s="503">
        <v>2014</v>
      </c>
      <c r="H8" s="502"/>
      <c r="I8" s="503">
        <v>2015</v>
      </c>
      <c r="J8" s="502"/>
      <c r="K8" s="501">
        <v>2016</v>
      </c>
      <c r="L8" s="502"/>
      <c r="M8" s="133"/>
    </row>
    <row r="9" spans="1:13" ht="95.25" customHeight="1" thickBot="1" x14ac:dyDescent="0.3">
      <c r="A9" s="508"/>
      <c r="B9" s="514"/>
      <c r="C9" s="14" t="s">
        <v>32</v>
      </c>
      <c r="D9" s="4" t="s">
        <v>27</v>
      </c>
      <c r="E9" s="14" t="s">
        <v>32</v>
      </c>
      <c r="F9" s="4" t="s">
        <v>27</v>
      </c>
      <c r="G9" s="14" t="s">
        <v>32</v>
      </c>
      <c r="H9" s="4" t="s">
        <v>27</v>
      </c>
      <c r="I9" s="14" t="s">
        <v>32</v>
      </c>
      <c r="J9" s="4" t="s">
        <v>27</v>
      </c>
      <c r="K9" s="14" t="s">
        <v>32</v>
      </c>
      <c r="L9" s="4" t="s">
        <v>27</v>
      </c>
      <c r="M9" s="134" t="s">
        <v>108</v>
      </c>
    </row>
    <row r="10" spans="1:13" ht="7.5" customHeight="1" x14ac:dyDescent="0.25">
      <c r="C10" s="2"/>
      <c r="D10" s="2"/>
      <c r="E10" s="2"/>
      <c r="F10" s="2"/>
      <c r="G10" s="2"/>
      <c r="H10" s="2"/>
      <c r="I10" s="2"/>
      <c r="J10" s="2"/>
      <c r="K10" s="2"/>
      <c r="L10" s="2"/>
      <c r="M10" s="135"/>
    </row>
    <row r="11" spans="1:13" x14ac:dyDescent="0.25">
      <c r="A11" s="511" t="s">
        <v>7</v>
      </c>
      <c r="B11" s="512"/>
      <c r="C11" s="10"/>
      <c r="D11" s="8"/>
      <c r="E11" s="7"/>
      <c r="F11" s="8"/>
      <c r="G11" s="7"/>
      <c r="H11" s="8"/>
      <c r="I11" s="7"/>
      <c r="J11" s="8"/>
      <c r="K11" s="7"/>
      <c r="L11" s="9"/>
      <c r="M11" s="21"/>
    </row>
    <row r="12" spans="1:13" ht="50.25" customHeight="1" x14ac:dyDescent="0.25">
      <c r="A12" s="40">
        <v>1</v>
      </c>
      <c r="B12" s="31" t="s">
        <v>6</v>
      </c>
      <c r="C12" s="136">
        <v>25768</v>
      </c>
      <c r="D12" s="137">
        <v>421587</v>
      </c>
      <c r="E12" s="138">
        <v>26012</v>
      </c>
      <c r="F12" s="137">
        <v>417590</v>
      </c>
      <c r="G12" s="138">
        <v>36112</v>
      </c>
      <c r="H12" s="137">
        <v>545477</v>
      </c>
      <c r="I12" s="138">
        <v>27598</v>
      </c>
      <c r="J12" s="137">
        <v>546485</v>
      </c>
      <c r="K12" s="138">
        <v>29379</v>
      </c>
      <c r="L12" s="137">
        <v>581605</v>
      </c>
      <c r="M12" s="139" t="s">
        <v>109</v>
      </c>
    </row>
    <row r="13" spans="1:13" ht="36.75" customHeight="1" x14ac:dyDescent="0.25">
      <c r="A13" s="48" t="s">
        <v>16</v>
      </c>
      <c r="B13" s="30" t="s">
        <v>31</v>
      </c>
      <c r="C13" s="140">
        <f>C12/1034358</f>
        <v>2.4912071062436796E-2</v>
      </c>
      <c r="D13" s="141">
        <f>D12/1034358</f>
        <v>0.4075832545404976</v>
      </c>
      <c r="E13" s="142">
        <f>E12/1528760</f>
        <v>1.7015097202961876E-2</v>
      </c>
      <c r="F13" s="141">
        <f>F12/1528760</f>
        <v>0.27315602187393706</v>
      </c>
      <c r="G13" s="142">
        <f>G12/1116624</f>
        <v>3.2340340168221356E-2</v>
      </c>
      <c r="H13" s="141">
        <f>H12/1116624</f>
        <v>0.48850553095760074</v>
      </c>
      <c r="I13" s="142">
        <f>I12/1456148</f>
        <v>1.8952743814502373E-2</v>
      </c>
      <c r="J13" s="141">
        <f>J12/1456148</f>
        <v>0.37529495628191639</v>
      </c>
      <c r="K13" s="142">
        <f>K12/1586099</f>
        <v>1.8522803431563855E-2</v>
      </c>
      <c r="L13" s="141">
        <f>L12/1586099</f>
        <v>0.36668896456021977</v>
      </c>
      <c r="M13" s="143"/>
    </row>
    <row r="14" spans="1:13" ht="7.5" customHeight="1" x14ac:dyDescent="0.25">
      <c r="A14" s="29"/>
      <c r="B14" s="3"/>
      <c r="C14" s="55"/>
      <c r="D14" s="55"/>
      <c r="E14" s="55"/>
      <c r="F14" s="55"/>
      <c r="G14" s="55"/>
      <c r="H14" s="55"/>
      <c r="I14" s="55"/>
      <c r="J14" s="55"/>
      <c r="K14" s="55"/>
      <c r="L14" s="55"/>
      <c r="M14" s="143"/>
    </row>
    <row r="15" spans="1:13" x14ac:dyDescent="0.25">
      <c r="A15" s="509" t="s">
        <v>1</v>
      </c>
      <c r="B15" s="510"/>
      <c r="C15" s="144"/>
      <c r="D15" s="145"/>
      <c r="E15" s="146"/>
      <c r="F15" s="145"/>
      <c r="G15" s="146"/>
      <c r="H15" s="145"/>
      <c r="I15" s="146"/>
      <c r="J15" s="145"/>
      <c r="K15" s="146"/>
      <c r="L15" s="147"/>
      <c r="M15" s="143"/>
    </row>
    <row r="16" spans="1:13" ht="30" x14ac:dyDescent="0.25">
      <c r="A16" s="40">
        <v>2</v>
      </c>
      <c r="B16" s="31" t="s">
        <v>5</v>
      </c>
      <c r="C16" s="148"/>
      <c r="D16" s="149">
        <v>10916</v>
      </c>
      <c r="E16" s="150"/>
      <c r="F16" s="151">
        <f>22696-10916</f>
        <v>11780</v>
      </c>
      <c r="G16" s="150"/>
      <c r="H16" s="149">
        <f>31693-22696</f>
        <v>8997</v>
      </c>
      <c r="I16" s="150"/>
      <c r="J16" s="149">
        <f>41243-31693</f>
        <v>9550</v>
      </c>
      <c r="K16" s="150"/>
      <c r="L16" s="149">
        <f>59871-41243</f>
        <v>18628</v>
      </c>
      <c r="M16" s="152"/>
    </row>
    <row r="17" spans="1:13" ht="30" x14ac:dyDescent="0.25">
      <c r="A17" s="48" t="s">
        <v>17</v>
      </c>
      <c r="B17" s="30" t="s">
        <v>30</v>
      </c>
      <c r="C17" s="153"/>
      <c r="D17" s="154">
        <f>D16/370385</f>
        <v>2.9472035854583745E-2</v>
      </c>
      <c r="E17" s="155"/>
      <c r="F17" s="154">
        <f>F16/394288</f>
        <v>2.987663839629915E-2</v>
      </c>
      <c r="G17" s="155"/>
      <c r="H17" s="154">
        <f>H16/435480</f>
        <v>2.0659961421879307E-2</v>
      </c>
      <c r="I17" s="155"/>
      <c r="J17" s="154">
        <f>J16/452151</f>
        <v>2.1121262587056093E-2</v>
      </c>
      <c r="K17" s="155"/>
      <c r="L17" s="154">
        <f>L16/473479</f>
        <v>3.9342821962536884E-2</v>
      </c>
      <c r="M17" s="152"/>
    </row>
    <row r="18" spans="1:13" ht="18" customHeight="1" x14ac:dyDescent="0.25">
      <c r="A18" s="40">
        <v>3</v>
      </c>
      <c r="B18" s="31" t="s">
        <v>12</v>
      </c>
      <c r="C18" s="156"/>
      <c r="D18" s="157">
        <v>10916</v>
      </c>
      <c r="E18" s="158"/>
      <c r="F18" s="157">
        <v>22696</v>
      </c>
      <c r="G18" s="158"/>
      <c r="H18" s="157">
        <v>31693</v>
      </c>
      <c r="I18" s="158"/>
      <c r="J18" s="157">
        <v>41243</v>
      </c>
      <c r="K18" s="158"/>
      <c r="L18" s="157">
        <v>59871</v>
      </c>
      <c r="M18" s="143"/>
    </row>
    <row r="19" spans="1:13" ht="36" customHeight="1" x14ac:dyDescent="0.25">
      <c r="A19" s="49" t="s">
        <v>37</v>
      </c>
      <c r="B19" s="32" t="s">
        <v>35</v>
      </c>
      <c r="C19" s="159"/>
      <c r="D19" s="160">
        <v>0</v>
      </c>
      <c r="E19" s="161"/>
      <c r="F19" s="160">
        <v>89</v>
      </c>
      <c r="G19" s="161"/>
      <c r="H19" s="160">
        <v>84</v>
      </c>
      <c r="I19" s="161"/>
      <c r="J19" s="160">
        <v>90</v>
      </c>
      <c r="K19" s="161"/>
      <c r="L19" s="160">
        <v>327</v>
      </c>
      <c r="M19" s="143"/>
    </row>
    <row r="20" spans="1:13" ht="18" customHeight="1" x14ac:dyDescent="0.25">
      <c r="A20" s="50" t="s">
        <v>41</v>
      </c>
      <c r="B20" s="32" t="s">
        <v>26</v>
      </c>
      <c r="C20" s="159"/>
      <c r="D20" s="162"/>
      <c r="E20" s="163"/>
      <c r="F20" s="164">
        <f>F19/(F18+D18)/2</f>
        <v>1.3239319290729501E-3</v>
      </c>
      <c r="G20" s="163"/>
      <c r="H20" s="164">
        <f>H19/(H18+F18)/2</f>
        <v>7.7221496993877439E-4</v>
      </c>
      <c r="I20" s="163"/>
      <c r="J20" s="164">
        <f>J19/(J18+H18)/2</f>
        <v>6.169792694965449E-4</v>
      </c>
      <c r="K20" s="163"/>
      <c r="L20" s="164">
        <f>L19/(L18+J18)/2</f>
        <v>1.6169867674110409E-3</v>
      </c>
      <c r="M20" s="143"/>
    </row>
    <row r="21" spans="1:13" ht="64.5" customHeight="1" x14ac:dyDescent="0.25">
      <c r="A21" s="50" t="s">
        <v>18</v>
      </c>
      <c r="B21" s="32" t="s">
        <v>28</v>
      </c>
      <c r="C21" s="159"/>
      <c r="D21" s="165">
        <v>10916</v>
      </c>
      <c r="E21" s="166"/>
      <c r="F21" s="167">
        <f>22696-10916</f>
        <v>11780</v>
      </c>
      <c r="G21" s="166"/>
      <c r="H21" s="168">
        <f>31693-22696</f>
        <v>8997</v>
      </c>
      <c r="I21" s="166"/>
      <c r="J21" s="168">
        <f>41243-31693</f>
        <v>9550</v>
      </c>
      <c r="K21" s="166"/>
      <c r="L21" s="168">
        <f>59871-41243</f>
        <v>18628</v>
      </c>
      <c r="M21" s="169" t="s">
        <v>110</v>
      </c>
    </row>
    <row r="22" spans="1:13" ht="18.75" customHeight="1" x14ac:dyDescent="0.25">
      <c r="A22" s="51" t="s">
        <v>25</v>
      </c>
      <c r="B22" s="30" t="s">
        <v>29</v>
      </c>
      <c r="C22" s="153"/>
      <c r="D22" s="170"/>
      <c r="E22" s="171"/>
      <c r="F22" s="170"/>
      <c r="G22" s="171"/>
      <c r="H22" s="170"/>
      <c r="I22" s="171"/>
      <c r="J22" s="170"/>
      <c r="K22" s="171"/>
      <c r="L22" s="170"/>
      <c r="M22" s="143"/>
    </row>
    <row r="23" spans="1:13" ht="7.5" customHeight="1" x14ac:dyDescent="0.25">
      <c r="A23" s="29"/>
      <c r="B23" s="3"/>
      <c r="C23" s="55"/>
      <c r="D23" s="55"/>
      <c r="E23" s="55"/>
      <c r="F23" s="55"/>
      <c r="G23" s="55"/>
      <c r="H23" s="55"/>
      <c r="I23" s="55"/>
      <c r="J23" s="55"/>
      <c r="K23" s="55"/>
      <c r="L23" s="55"/>
      <c r="M23" s="143"/>
    </row>
    <row r="24" spans="1:13" x14ac:dyDescent="0.25">
      <c r="A24" s="509" t="s">
        <v>13</v>
      </c>
      <c r="B24" s="510"/>
      <c r="C24" s="144"/>
      <c r="D24" s="144"/>
      <c r="E24" s="144"/>
      <c r="F24" s="144"/>
      <c r="G24" s="144"/>
      <c r="H24" s="144"/>
      <c r="I24" s="144"/>
      <c r="J24" s="144"/>
      <c r="K24" s="144"/>
      <c r="L24" s="145"/>
      <c r="M24" s="143"/>
    </row>
    <row r="25" spans="1:13" ht="52.5" customHeight="1" x14ac:dyDescent="0.25">
      <c r="A25" s="40">
        <v>4</v>
      </c>
      <c r="B25" s="44" t="s">
        <v>40</v>
      </c>
      <c r="C25" s="148"/>
      <c r="D25" s="172">
        <v>7606</v>
      </c>
      <c r="E25" s="148"/>
      <c r="F25" s="172">
        <f>15804-7606</f>
        <v>8198</v>
      </c>
      <c r="G25" s="148"/>
      <c r="H25" s="172">
        <f>24801-15804</f>
        <v>8997</v>
      </c>
      <c r="I25" s="148"/>
      <c r="J25" s="172">
        <f>34351-24801</f>
        <v>9550</v>
      </c>
      <c r="K25" s="148"/>
      <c r="L25" s="149">
        <f>44754-34351</f>
        <v>10403</v>
      </c>
      <c r="M25" s="549" t="s">
        <v>111</v>
      </c>
    </row>
    <row r="26" spans="1:13" ht="57.75" customHeight="1" x14ac:dyDescent="0.25">
      <c r="A26" s="48" t="s">
        <v>19</v>
      </c>
      <c r="B26" s="30" t="s">
        <v>0</v>
      </c>
      <c r="C26" s="153"/>
      <c r="D26" s="173">
        <f>D25/370385</f>
        <v>2.0535388852140339E-2</v>
      </c>
      <c r="E26" s="153"/>
      <c r="F26" s="174">
        <f>F25/394288</f>
        <v>2.0791908452704622E-2</v>
      </c>
      <c r="G26" s="153"/>
      <c r="H26" s="174">
        <f>H25/435480</f>
        <v>2.0659961421879307E-2</v>
      </c>
      <c r="I26" s="153"/>
      <c r="J26" s="154">
        <f>J25/452151</f>
        <v>2.1121262587056093E-2</v>
      </c>
      <c r="K26" s="153"/>
      <c r="L26" s="154">
        <f>L25/473479</f>
        <v>2.197140739082409E-2</v>
      </c>
      <c r="M26" s="550"/>
    </row>
    <row r="27" spans="1:13" ht="79.5" customHeight="1" x14ac:dyDescent="0.25">
      <c r="A27" s="40">
        <v>5</v>
      </c>
      <c r="B27" s="45" t="s">
        <v>38</v>
      </c>
      <c r="C27" s="175"/>
      <c r="D27" s="176">
        <v>3310</v>
      </c>
      <c r="E27" s="175"/>
      <c r="F27" s="176">
        <f>6892-3310</f>
        <v>3582</v>
      </c>
      <c r="G27" s="175"/>
      <c r="H27" s="177">
        <v>0</v>
      </c>
      <c r="I27" s="175"/>
      <c r="J27" s="177">
        <v>0</v>
      </c>
      <c r="K27" s="175"/>
      <c r="L27" s="178">
        <f>15117-6892</f>
        <v>8225</v>
      </c>
      <c r="M27" s="179" t="s">
        <v>112</v>
      </c>
    </row>
    <row r="28" spans="1:13" ht="48" customHeight="1" x14ac:dyDescent="0.25">
      <c r="A28" s="49" t="s">
        <v>20</v>
      </c>
      <c r="B28" s="34" t="s">
        <v>42</v>
      </c>
      <c r="C28" s="180"/>
      <c r="D28" s="181"/>
      <c r="E28" s="180"/>
      <c r="F28" s="181"/>
      <c r="G28" s="180"/>
      <c r="H28" s="181"/>
      <c r="I28" s="180"/>
      <c r="J28" s="181"/>
      <c r="K28" s="180"/>
      <c r="L28" s="181"/>
      <c r="M28" s="182"/>
    </row>
    <row r="29" spans="1:13" ht="49.5" customHeight="1" x14ac:dyDescent="0.25">
      <c r="A29" s="49" t="s">
        <v>21</v>
      </c>
      <c r="B29" s="34" t="s">
        <v>34</v>
      </c>
      <c r="C29" s="180"/>
      <c r="D29" s="183">
        <v>3310</v>
      </c>
      <c r="E29" s="184"/>
      <c r="F29" s="183">
        <f>6892-3310</f>
        <v>3582</v>
      </c>
      <c r="G29" s="184"/>
      <c r="H29" s="185">
        <v>0</v>
      </c>
      <c r="I29" s="184"/>
      <c r="J29" s="185">
        <v>0</v>
      </c>
      <c r="K29" s="184"/>
      <c r="L29" s="186">
        <f>15117-6892</f>
        <v>8225</v>
      </c>
      <c r="M29" s="182"/>
    </row>
    <row r="30" spans="1:13" ht="50.25" customHeight="1" x14ac:dyDescent="0.25">
      <c r="A30" s="48" t="s">
        <v>22</v>
      </c>
      <c r="B30" s="35" t="s">
        <v>15</v>
      </c>
      <c r="C30" s="523"/>
      <c r="D30" s="524"/>
      <c r="E30" s="524"/>
      <c r="F30" s="524"/>
      <c r="G30" s="524"/>
      <c r="H30" s="524"/>
      <c r="I30" s="524"/>
      <c r="J30" s="524"/>
      <c r="K30" s="524"/>
      <c r="L30" s="525"/>
      <c r="M30" s="182"/>
    </row>
    <row r="31" spans="1:13" ht="18" customHeight="1" x14ac:dyDescent="0.25">
      <c r="A31" s="40">
        <v>6</v>
      </c>
      <c r="B31" s="33" t="s">
        <v>14</v>
      </c>
      <c r="C31" s="187"/>
      <c r="D31" s="188"/>
      <c r="E31" s="189"/>
      <c r="F31" s="188"/>
      <c r="G31" s="189"/>
      <c r="H31" s="188"/>
      <c r="I31" s="189"/>
      <c r="J31" s="188"/>
      <c r="K31" s="189"/>
      <c r="L31" s="188"/>
      <c r="M31" s="182"/>
    </row>
    <row r="32" spans="1:13" ht="33.75" customHeight="1" x14ac:dyDescent="0.25">
      <c r="A32" s="48" t="s">
        <v>23</v>
      </c>
      <c r="B32" s="46" t="s">
        <v>39</v>
      </c>
      <c r="C32" s="522"/>
      <c r="D32" s="505"/>
      <c r="E32" s="505"/>
      <c r="F32" s="505"/>
      <c r="G32" s="505"/>
      <c r="H32" s="505"/>
      <c r="I32" s="505"/>
      <c r="J32" s="505"/>
      <c r="K32" s="505"/>
      <c r="L32" s="506"/>
      <c r="M32" s="182"/>
    </row>
    <row r="33" spans="1:13" ht="7.5" customHeight="1" x14ac:dyDescent="0.25">
      <c r="A33" s="29"/>
      <c r="B33" s="3"/>
      <c r="C33" s="55"/>
      <c r="D33" s="55"/>
      <c r="E33" s="55"/>
      <c r="F33" s="55"/>
      <c r="G33" s="55"/>
      <c r="H33" s="55"/>
      <c r="I33" s="55"/>
      <c r="J33" s="55"/>
      <c r="K33" s="55"/>
      <c r="L33" s="55"/>
      <c r="M33" s="21"/>
    </row>
    <row r="34" spans="1:13" ht="15" customHeight="1" x14ac:dyDescent="0.25">
      <c r="A34" s="509" t="s">
        <v>2</v>
      </c>
      <c r="B34" s="510"/>
      <c r="C34" s="144"/>
      <c r="D34" s="145"/>
      <c r="E34" s="146"/>
      <c r="F34" s="145"/>
      <c r="G34" s="146"/>
      <c r="H34" s="145"/>
      <c r="I34" s="146"/>
      <c r="J34" s="145"/>
      <c r="K34" s="146"/>
      <c r="L34" s="145"/>
      <c r="M34" s="21"/>
    </row>
    <row r="35" spans="1:13" x14ac:dyDescent="0.25">
      <c r="A35" s="39">
        <v>7</v>
      </c>
      <c r="B35" s="33" t="s">
        <v>3</v>
      </c>
      <c r="C35" s="551" t="s">
        <v>113</v>
      </c>
      <c r="D35" s="552"/>
      <c r="E35" s="551" t="s">
        <v>113</v>
      </c>
      <c r="F35" s="552"/>
      <c r="G35" s="551" t="s">
        <v>113</v>
      </c>
      <c r="H35" s="552"/>
      <c r="I35" s="551" t="s">
        <v>113</v>
      </c>
      <c r="J35" s="552"/>
      <c r="K35" s="551" t="s">
        <v>113</v>
      </c>
      <c r="L35" s="552"/>
      <c r="M35" s="21"/>
    </row>
    <row r="36" spans="1:13" x14ac:dyDescent="0.25">
      <c r="A36" s="39">
        <v>8</v>
      </c>
      <c r="B36" s="36" t="s">
        <v>4</v>
      </c>
      <c r="C36" s="553">
        <v>58500</v>
      </c>
      <c r="D36" s="554"/>
      <c r="E36" s="555">
        <v>41700</v>
      </c>
      <c r="F36" s="554"/>
      <c r="G36" s="555">
        <v>48000</v>
      </c>
      <c r="H36" s="554"/>
      <c r="I36" s="555">
        <v>50800</v>
      </c>
      <c r="J36" s="554"/>
      <c r="K36" s="555">
        <v>38500</v>
      </c>
      <c r="L36" s="554"/>
      <c r="M36" s="21"/>
    </row>
    <row r="37" spans="1:13" ht="15.75" thickBot="1" x14ac:dyDescent="0.3">
      <c r="A37" s="63">
        <v>9</v>
      </c>
      <c r="B37" s="37" t="s">
        <v>44</v>
      </c>
      <c r="C37" s="556" t="s">
        <v>114</v>
      </c>
      <c r="D37" s="557"/>
      <c r="E37" s="558" t="s">
        <v>115</v>
      </c>
      <c r="F37" s="557"/>
      <c r="G37" s="558" t="s">
        <v>114</v>
      </c>
      <c r="H37" s="557"/>
      <c r="I37" s="558" t="s">
        <v>114</v>
      </c>
      <c r="J37" s="557"/>
      <c r="K37" s="558" t="s">
        <v>115</v>
      </c>
      <c r="L37" s="557"/>
      <c r="M37" s="17"/>
    </row>
    <row r="38" spans="1:13" ht="14.25" customHeight="1" x14ac:dyDescent="0.25">
      <c r="A38" s="41"/>
      <c r="B38" s="491"/>
      <c r="C38" s="491"/>
      <c r="D38" s="491"/>
      <c r="E38" s="491"/>
      <c r="F38" s="491"/>
      <c r="G38" s="491"/>
      <c r="H38" s="491"/>
      <c r="I38" s="491"/>
      <c r="J38" s="491"/>
      <c r="K38" s="491"/>
      <c r="L38" s="491"/>
      <c r="M38" s="42"/>
    </row>
    <row r="39" spans="1:13" ht="18" customHeight="1" x14ac:dyDescent="0.25">
      <c r="B39" s="484" t="s">
        <v>33</v>
      </c>
      <c r="C39" s="484"/>
      <c r="D39" s="484"/>
      <c r="E39" s="484"/>
      <c r="F39" s="484"/>
      <c r="G39" s="484"/>
      <c r="H39" s="484"/>
      <c r="I39" s="484"/>
      <c r="J39" s="484"/>
      <c r="K39" s="484"/>
      <c r="L39" s="484"/>
    </row>
    <row r="40" spans="1:13" ht="30.75" customHeight="1" x14ac:dyDescent="0.25">
      <c r="B40" s="485" t="s">
        <v>43</v>
      </c>
      <c r="C40" s="485"/>
      <c r="D40" s="485"/>
      <c r="E40" s="485"/>
      <c r="F40" s="485"/>
      <c r="G40" s="485"/>
      <c r="H40" s="485"/>
      <c r="I40" s="485"/>
      <c r="J40" s="485"/>
      <c r="K40" s="485"/>
      <c r="L40" s="485"/>
    </row>
    <row r="41" spans="1:13" x14ac:dyDescent="0.25">
      <c r="B41" s="3"/>
    </row>
    <row r="42" spans="1:13" x14ac:dyDescent="0.25">
      <c r="B42" s="3"/>
    </row>
  </sheetData>
  <mergeCells count="36">
    <mergeCell ref="B38:L38"/>
    <mergeCell ref="B39:L39"/>
    <mergeCell ref="B40:L40"/>
    <mergeCell ref="C36:D36"/>
    <mergeCell ref="E36:F36"/>
    <mergeCell ref="G36:H36"/>
    <mergeCell ref="I36:J36"/>
    <mergeCell ref="K36:L36"/>
    <mergeCell ref="C37:D37"/>
    <mergeCell ref="E37:F37"/>
    <mergeCell ref="G37:H37"/>
    <mergeCell ref="I37:J37"/>
    <mergeCell ref="K37:L37"/>
    <mergeCell ref="M25:M26"/>
    <mergeCell ref="A8:A9"/>
    <mergeCell ref="C32:L32"/>
    <mergeCell ref="A34:B34"/>
    <mergeCell ref="C35:D35"/>
    <mergeCell ref="E35:F35"/>
    <mergeCell ref="G35:H35"/>
    <mergeCell ref="I35:J35"/>
    <mergeCell ref="K35:L35"/>
    <mergeCell ref="C30:L30"/>
    <mergeCell ref="A11:B11"/>
    <mergeCell ref="A15:B15"/>
    <mergeCell ref="A24:B24"/>
    <mergeCell ref="B1:L1"/>
    <mergeCell ref="B2:L2"/>
    <mergeCell ref="B4:L4"/>
    <mergeCell ref="C6:L6"/>
    <mergeCell ref="B8:B9"/>
    <mergeCell ref="C8:D8"/>
    <mergeCell ref="E8:F8"/>
    <mergeCell ref="G8:H8"/>
    <mergeCell ref="I8:J8"/>
    <mergeCell ref="K8:L8"/>
  </mergeCells>
  <pageMargins left="0.31496062992125984" right="0.31496062992125984"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IMO</vt:lpstr>
      <vt:lpstr>IMO Support</vt:lpstr>
      <vt:lpstr>UNESCO</vt:lpstr>
      <vt:lpstr>ITU</vt:lpstr>
      <vt:lpstr>UNWTO</vt:lpstr>
      <vt:lpstr>FAO</vt:lpstr>
      <vt:lpstr>WFP</vt:lpstr>
      <vt:lpstr>WFP Support</vt:lpstr>
      <vt:lpstr>UNHCR</vt:lpstr>
      <vt:lpstr>UNITAR</vt:lpstr>
      <vt:lpstr>UNDP</vt:lpstr>
      <vt:lpstr>UNFPA</vt:lpstr>
      <vt:lpstr>ILO</vt:lpstr>
      <vt:lpstr>UNIDO</vt:lpstr>
      <vt:lpstr>UNIDO Suport (EUR)</vt:lpstr>
      <vt:lpstr>UNICEF</vt:lpstr>
      <vt:lpstr>ICAO</vt:lpstr>
      <vt:lpstr>WIPO</vt:lpstr>
      <vt:lpstr>IAEA</vt:lpstr>
      <vt:lpstr>IAEA Support (source data)</vt:lpstr>
      <vt:lpstr>WHO</vt:lpstr>
      <vt:lpstr>UN Volume I </vt:lpstr>
      <vt:lpstr>UN Volume II</vt:lpstr>
      <vt:lpstr>UNHabitat</vt:lpstr>
      <vt:lpstr>UNEP</vt:lpstr>
      <vt:lpstr>UNU</vt:lpstr>
      <vt:lpstr>UNU Add'l</vt:lpstr>
      <vt:lpstr>ICTY</vt:lpstr>
      <vt:lpstr>ICTR</vt:lpstr>
      <vt:lpstr>MICT</vt:lpstr>
      <vt:lpstr>UNODC</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Clifford Norman Kunstler</dc:creator>
  <cp:lastModifiedBy>Dinara2 Alieva</cp:lastModifiedBy>
  <cp:lastPrinted>2017-08-09T09:12:54Z</cp:lastPrinted>
  <dcterms:created xsi:type="dcterms:W3CDTF">2017-07-20T13:33:06Z</dcterms:created>
  <dcterms:modified xsi:type="dcterms:W3CDTF">2017-09-29T23:52:38Z</dcterms:modified>
</cp:coreProperties>
</file>